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2"/>
  </bookViews>
  <sheets>
    <sheet name="Disclaimer" sheetId="1" r:id="rId1"/>
    <sheet name="WADA - Data Entry Page" sheetId="2" r:id="rId2"/>
    <sheet name="Data Entry Page" sheetId="3" r:id="rId3"/>
    <sheet name="District &amp; Charter Calculation" sheetId="4" r:id="rId4"/>
  </sheets>
  <externalReferences>
    <externalReference r:id="rId7"/>
  </externalReferences>
  <definedNames>
    <definedName name="_xlfn.IFERROR" hidden="1">#NAME?</definedName>
    <definedName name="District_Code">'WADA - Data Entry Page'!$C$3</definedName>
    <definedName name="_xlnm.Print_Area" localSheetId="2">'Data Entry Page'!$B$1:$J$33</definedName>
    <definedName name="_xlnm.Print_Area" localSheetId="3">'District &amp; Charter Calculation'!$A$1:$E$78</definedName>
  </definedNames>
  <calcPr fullCalcOnLoad="1"/>
</workbook>
</file>

<file path=xl/comments2.xml><?xml version="1.0" encoding="utf-8"?>
<comments xmlns="http://schemas.openxmlformats.org/spreadsheetml/2006/main">
  <authors>
    <author>tlehmen</author>
  </authors>
  <commentList>
    <comment ref="B7" authorId="0">
      <text>
        <r>
          <rPr>
            <b/>
            <sz val="9"/>
            <rFont val="Tahoma"/>
            <family val="2"/>
          </rPr>
          <t xml:space="preserve">DESE: </t>
        </r>
        <r>
          <rPr>
            <sz val="9"/>
            <rFont val="Tahoma"/>
            <family val="2"/>
          </rPr>
          <t xml:space="preserve"> The district's ADA can be found by opening the Attendance Hour Summary Report found on the Report Menu in Core Data. 
It may also be found for the 1st or 2nd preceding year by looking at the WADA page of the formula calculation linked on the payment transmittal.
This data is calculated from the attendance hours reported in the MOSIS June Enrollment and Attendance file and the actual calendar reported on Core Data Screen 10.
</t>
        </r>
      </text>
    </comment>
    <comment ref="B9" authorId="0">
      <text>
        <r>
          <rPr>
            <b/>
            <sz val="9"/>
            <rFont val="Tahoma"/>
            <family val="2"/>
          </rPr>
          <t xml:space="preserve">DESE:  </t>
        </r>
        <r>
          <rPr>
            <sz val="9"/>
            <rFont val="Tahoma"/>
            <family val="2"/>
          </rPr>
          <t>The district's ADA can be found by opening the Attendance Hour Summary Report found on the Report Menu in Core Data. 
It may also be found for the 1st or 2nd preceding year by looking at the WADA page of the formula calculation linked on the payment transmittal.
This data is calculated from the attendance hours reported in the MOSIS August Enrollment and Attendance file and dividing it by 1,044.</t>
        </r>
      </text>
    </comment>
    <comment ref="B10" authorId="0">
      <text>
        <r>
          <rPr>
            <b/>
            <sz val="9"/>
            <rFont val="Tahoma"/>
            <family val="2"/>
          </rPr>
          <t xml:space="preserve">DESE:  </t>
        </r>
        <r>
          <rPr>
            <sz val="9"/>
            <rFont val="Tahoma"/>
            <family val="2"/>
          </rPr>
          <t xml:space="preserve">The district's Free and Reduced State FTE can be found in Core Data, February cycle, Screen 15.  Be sure to find the State FTE count.
It may also be found for the 1st or 2nd preceding year by looking at the WADA page of the formula calculation linked on the payment transmittal.
This data is calculated from the FTE of students who were enrolled on the January count day and who were also in attendance at least one of the 10 preceding school days as reported in the MOSIS February Student Core file.
</t>
        </r>
      </text>
    </comment>
    <comment ref="B11" authorId="0">
      <text>
        <r>
          <rPr>
            <b/>
            <sz val="9"/>
            <rFont val="Tahoma"/>
            <family val="2"/>
          </rPr>
          <t xml:space="preserve">DESE:  </t>
        </r>
        <r>
          <rPr>
            <sz val="9"/>
            <rFont val="Tahoma"/>
            <family val="2"/>
          </rPr>
          <t xml:space="preserve">The district's Special Education IEP count can be found in Core Data, December cycle, Screen 11.  Only the count of kids ages 5-21 with a SPED Placement Code of 1100, 1201, 1301, 1401, 1402, 1403, 1601, 1701, 1801, and 2100 are used.
It may also be found for the 1st or 2nd preceding year by looking at the WADA page of the formula calculation linked on the payment transmittal.
This data is reported on the MOSIS December Student Core file.
</t>
        </r>
      </text>
    </comment>
    <comment ref="B12" authorId="0">
      <text>
        <r>
          <rPr>
            <b/>
            <sz val="9"/>
            <rFont val="Tahoma"/>
            <family val="2"/>
          </rPr>
          <t xml:space="preserve">DESE: </t>
        </r>
        <r>
          <rPr>
            <sz val="9"/>
            <rFont val="Tahoma"/>
            <family val="2"/>
          </rPr>
          <t xml:space="preserve"> The district's LEP count can be found in Core Data, October cycle, Screen 2.  Be sure to use the K-12 ELL (LEP) students enrolled count.
It may also be found for the 1st or 2nd preceding year by looking at the WADA page of the formula calculation linked on the payment transmittal.
This data is reported on the MOSIS October Student Core file.</t>
        </r>
      </text>
    </comment>
    <comment ref="B14" authorId="0">
      <text>
        <r>
          <rPr>
            <b/>
            <sz val="9"/>
            <rFont val="Tahoma"/>
            <family val="2"/>
          </rPr>
          <t xml:space="preserve">DESE:  </t>
        </r>
        <r>
          <rPr>
            <sz val="9"/>
            <rFont val="Tahoma"/>
            <family val="2"/>
          </rPr>
          <t>The amount per ADA for Classroom Trust Fund can be found in the School Finance Monthly Memos.
This amount is projected by DESE based on budgetary figures using knowledge of budgetary withholdings and revenue projections and shortfalls.
Year to date actual payment amount per ADA can be located on the payment transmittal.</t>
        </r>
      </text>
    </comment>
    <comment ref="B15" authorId="0">
      <text>
        <r>
          <rPr>
            <b/>
            <sz val="9"/>
            <rFont val="Tahoma"/>
            <family val="2"/>
          </rPr>
          <t xml:space="preserve">DESE:  </t>
        </r>
        <r>
          <rPr>
            <sz val="9"/>
            <rFont val="Tahoma"/>
            <family val="2"/>
          </rPr>
          <t xml:space="preserve">The amount per WADA for Prop C can be found in the School Finance Monthly Memos.
This amount is projected by DESE based on budgetary figures using knowledge of budgetary withholdings and revenue projections and shortfalls.
</t>
        </r>
      </text>
    </comment>
  </commentList>
</comments>
</file>

<file path=xl/sharedStrings.xml><?xml version="1.0" encoding="utf-8"?>
<sst xmlns="http://schemas.openxmlformats.org/spreadsheetml/2006/main" count="183" uniqueCount="162">
  <si>
    <t>Multiplied by State Adequacy Target</t>
  </si>
  <si>
    <t>Equals District Total</t>
  </si>
  <si>
    <t>Multiplied by Dollar Value Modifier</t>
  </si>
  <si>
    <t>Equals District Total Modified</t>
  </si>
  <si>
    <t>Minus Local Effort</t>
  </si>
  <si>
    <t>FY06 State Funding</t>
  </si>
  <si>
    <t>Total</t>
  </si>
  <si>
    <t>Hold Harmless Calculation:</t>
  </si>
  <si>
    <t>FY06 Modified State Funding</t>
  </si>
  <si>
    <t xml:space="preserve">   Net Tax Revenue &gt; $3.43 tax rate</t>
  </si>
  <si>
    <t>Kansas City</t>
  </si>
  <si>
    <t>Phase-In Calculation:</t>
  </si>
  <si>
    <t>Payment Weighted Average Daily Attendance</t>
  </si>
  <si>
    <t xml:space="preserve">   Local Tax Revenues &gt; $3.43 per Weighted ADA</t>
  </si>
  <si>
    <t>Calculation of local tax revenues in excess of $3.43 performance levy:</t>
  </si>
  <si>
    <t>Fiscal Year</t>
  </si>
  <si>
    <t xml:space="preserve">2nd preceding year AV from County Clerk = </t>
  </si>
  <si>
    <t xml:space="preserve"> ÷ 100 X 2nd pre tax rate &gt; $3.43</t>
  </si>
  <si>
    <t xml:space="preserve">Kansas City </t>
  </si>
  <si>
    <t>DVM</t>
  </si>
  <si>
    <t>AV and Tax Levy Year</t>
  </si>
  <si>
    <t>St. Louis</t>
  </si>
  <si>
    <t>12-31 Assessed Valuation</t>
  </si>
  <si>
    <t>SAT</t>
  </si>
  <si>
    <t>2nd preceding year Tax Levy</t>
  </si>
  <si>
    <t>Collector Fee %</t>
  </si>
  <si>
    <t>Less assessor &amp; collector fees</t>
  </si>
  <si>
    <t>Local Effort</t>
  </si>
  <si>
    <t>FY 2006 State Funding</t>
  </si>
  <si>
    <t>2005-2006 WADA</t>
  </si>
  <si>
    <t>District FWADA</t>
  </si>
  <si>
    <t>Local Tax Revenues &gt; $3.43 (Line 18)</t>
  </si>
  <si>
    <t>Local Effort Deduction ((Line 20 + Line 21 - Line 19) * Charter FWADA) / District FWADA</t>
  </si>
  <si>
    <t>Estimated District Payment per FWADA (Line 22 - Line 23)</t>
  </si>
  <si>
    <t>Collector Fee Percentage</t>
  </si>
  <si>
    <t>N/A</t>
  </si>
  <si>
    <t>Equals State Funding Required</t>
  </si>
  <si>
    <t>SB 287 Formula (Line 7 X 100%</t>
  </si>
  <si>
    <t>FY06 Funding (Line 8  X 0%)</t>
  </si>
  <si>
    <t>Total per Payment Weighted ADA (Line 11 / Line 1)</t>
  </si>
  <si>
    <t>Dollar Value Modifier</t>
  </si>
  <si>
    <t>FY06 Modified per 2005-06 Weighted ADA (Line 14 / 2005-06 Weighted ADA)</t>
  </si>
  <si>
    <t>If Line 12 &lt; Line 15, then district held harmless (Line 1 X Line 15)</t>
  </si>
  <si>
    <t>Total Basic Formula Payment (Greater of Line 11 or  Line 16)</t>
  </si>
  <si>
    <t>Estimated amount needed for district revenue bond payments:</t>
  </si>
  <si>
    <t>Debt payment amount per Weighted ADA</t>
  </si>
  <si>
    <t>Local Effort Per Formula Weighted ADA (Line 6 / Line 1)</t>
  </si>
  <si>
    <t>Adjusted State Dollars per WADA (Line 17 / Line 1)</t>
  </si>
  <si>
    <t>Normandy</t>
  </si>
  <si>
    <t>2nd preceding Weighted ADA</t>
  </si>
  <si>
    <t>5111 - Current Taxes</t>
  </si>
  <si>
    <t>5112 - Delinquent Taxes</t>
  </si>
  <si>
    <t>5114 - Financial Institution Tax</t>
  </si>
  <si>
    <t>5115 - M&amp;M Surtax</t>
  </si>
  <si>
    <t>5116 - In Lieu of Tax</t>
  </si>
  <si>
    <t>5117 - City Sales Tax</t>
  </si>
  <si>
    <t>5221 - State Assessed Utilities</t>
  </si>
  <si>
    <t>Total Local Aid</t>
  </si>
  <si>
    <t>Local Aid for the District</t>
  </si>
  <si>
    <t>FWADA for the District</t>
  </si>
  <si>
    <t>Local Aid per FWADA for the District (Line 26 / Line 27)</t>
  </si>
  <si>
    <t>FWADA for the Charters</t>
  </si>
  <si>
    <t>048-078</t>
  </si>
  <si>
    <t>115-115</t>
  </si>
  <si>
    <t>096-109</t>
  </si>
  <si>
    <t>Local Aid Passed to Charters</t>
  </si>
  <si>
    <t>Amount per FWADA of Local Aid and Basic Formula Paid to the District</t>
  </si>
  <si>
    <t>Total Local Aid and Basic Formula Paid to the District</t>
  </si>
  <si>
    <t>Charter Sponsor Fee</t>
  </si>
  <si>
    <t>Maximum Charter Sponsor Payment</t>
  </si>
  <si>
    <t>Amount of Basic Formula and Classroom Trust Fund Projected for Charter</t>
  </si>
  <si>
    <t>Total Paid to District &amp; Charters</t>
  </si>
  <si>
    <t>District's and Charters' FWADA</t>
  </si>
  <si>
    <t xml:space="preserve">Estimated Charter Payment per FWADA </t>
  </si>
  <si>
    <t>Tax Levy in GF and TF*</t>
  </si>
  <si>
    <t>Amount unable to be passed through</t>
  </si>
  <si>
    <t>Amount to lower Local Effort &gt;$3.43</t>
  </si>
  <si>
    <t>Preliminary Estimated Charter Payment per FWADA (Line 18 + Line 20 + Line 23)*</t>
  </si>
  <si>
    <t xml:space="preserve">Estimated District Payment per FWADA </t>
  </si>
  <si>
    <t>Cross Check</t>
  </si>
  <si>
    <t>Total Paid to District &amp; Charters above Basic Formula Calculation</t>
  </si>
  <si>
    <t>Amount paid to District (Line 25 x Line 27)</t>
  </si>
  <si>
    <t>Amount paid to Charters (Line 28 x Line 33)</t>
  </si>
  <si>
    <t>Local Aid Year**</t>
  </si>
  <si>
    <t>** General Fund, Teachers Fund, and Capital Projects Fund amounts only.</t>
  </si>
  <si>
    <t>Calculation of property tax equivalent from sales tax revenue:</t>
  </si>
  <si>
    <t>2nd Preceding Year City Sales Tax Revenue for SLPS (Obtained from ASBR 5117)</t>
  </si>
  <si>
    <t>December 31 AV for 2nd Preceding Year SLPS Assessed Valuation</t>
  </si>
  <si>
    <t>St. Louis (115-115) Only</t>
  </si>
  <si>
    <t>Property Tax Equivalent from City Sales Tax Revenue*</t>
  </si>
  <si>
    <t>Principal + interests</t>
  </si>
  <si>
    <t>Additional amount per FWADA paid to Charters</t>
  </si>
  <si>
    <t>Charter Specific Estimate (Enter FWADA Below in Yellow Box)*</t>
  </si>
  <si>
    <t>*Enter Charters Formula Weighted ADA and look at data only in applicable column for Charter being Estimated.</t>
  </si>
  <si>
    <t>Basic Formula Projection Tool Instructions</t>
  </si>
  <si>
    <t>This tool can be used by all charter schools.</t>
  </si>
  <si>
    <t>1.</t>
  </si>
  <si>
    <t>To begin the charter school must enter their county-district code.</t>
  </si>
  <si>
    <t>2.</t>
  </si>
  <si>
    <t>3.</t>
  </si>
  <si>
    <t>Best practice is to always enter information into the Basic Formula Projection Tool for the current fiscal year and to verify the projection</t>
  </si>
  <si>
    <t xml:space="preserve">totals equal to the most current Basic Formula Annualized calculation as found on the payment transmittal to ensure accuracy of the revenue </t>
  </si>
  <si>
    <t xml:space="preserve">projections. When the data has been correctly entered the district can make changes to different components to estimate basic formula </t>
  </si>
  <si>
    <t>revenue.  Results from this spreadsheet model should be considered an estimate with no guarantee of future state funding amounts.</t>
  </si>
  <si>
    <t>Copyright:</t>
  </si>
  <si>
    <t>© 2015 Missouri Department of Elementary and Secondary Education</t>
  </si>
  <si>
    <t>Charter School Basic Formula Projection Data Entry Page</t>
  </si>
  <si>
    <t>Only Enter Data in the Yellow Fields.</t>
  </si>
  <si>
    <t>ADAIR CO. R-II</t>
  </si>
  <si>
    <t>No</t>
  </si>
  <si>
    <t>Charter School Code:</t>
  </si>
  <si>
    <t>Date:</t>
  </si>
  <si>
    <t>Charter School Name:</t>
  </si>
  <si>
    <t xml:space="preserve">Enter information for the specific fiscal year in yellow fields.  </t>
  </si>
  <si>
    <t>ROCK PORT R-II</t>
  </si>
  <si>
    <t>Item</t>
  </si>
  <si>
    <t>2020-21</t>
  </si>
  <si>
    <t>2021-22</t>
  </si>
  <si>
    <t>2022-23</t>
  </si>
  <si>
    <t>2023-24</t>
  </si>
  <si>
    <t>Regular Year ADA (K-12)</t>
  </si>
  <si>
    <t>Prekindergarten Regular Year ADA</t>
  </si>
  <si>
    <t>Summer School ADA</t>
  </si>
  <si>
    <t>F&amp;RL State FTE January Count</t>
  </si>
  <si>
    <t>Special Education December Count</t>
  </si>
  <si>
    <t>LEP October Count</t>
  </si>
  <si>
    <t>Charter Amount per WADA</t>
  </si>
  <si>
    <t>Amount per ADA for Classroom Trust Fund</t>
  </si>
  <si>
    <t>Amount per WADA for Prop C</t>
  </si>
  <si>
    <t>Charter Sponsor Cap</t>
  </si>
  <si>
    <t xml:space="preserve">WEIGHTED ADA CALCULATION ESTIMATE </t>
  </si>
  <si>
    <t>Line</t>
  </si>
  <si>
    <t>Regular Year ADA</t>
  </si>
  <si>
    <t xml:space="preserve">Total ADA </t>
  </si>
  <si>
    <t>Charter CEP Percentage (if applicable)</t>
  </si>
  <si>
    <t>4.</t>
  </si>
  <si>
    <t>Free and Reduced Weighting Threshold</t>
  </si>
  <si>
    <t>State FTE January Count</t>
  </si>
  <si>
    <t>Total ADA (Line 3) x Threshold Percentage</t>
  </si>
  <si>
    <t>Add-on (25%)</t>
  </si>
  <si>
    <t>5.</t>
  </si>
  <si>
    <t>Special Education Weighting Threshold</t>
  </si>
  <si>
    <t>December Count</t>
  </si>
  <si>
    <t>Add-on (75%)</t>
  </si>
  <si>
    <t>6.</t>
  </si>
  <si>
    <t>LEP Weighting Threshold</t>
  </si>
  <si>
    <t>October Count</t>
  </si>
  <si>
    <t>Add-on (60%)</t>
  </si>
  <si>
    <t>7.</t>
  </si>
  <si>
    <t>Prekindergarten ADA</t>
  </si>
  <si>
    <t>8.</t>
  </si>
  <si>
    <t>Data entry will only be allowed on the "WADA" and "Data Entry Page."  Instructions for completing are as follows:</t>
  </si>
  <si>
    <t>2024-25</t>
  </si>
  <si>
    <t>2025-26</t>
  </si>
  <si>
    <t>2026-27</t>
  </si>
  <si>
    <t>WADA</t>
  </si>
  <si>
    <t>9.</t>
  </si>
  <si>
    <t>WADA - Summer School ADA (Line 8- Line 2)</t>
  </si>
  <si>
    <t>Formula Weighted ADA (Highest of current, 1st preceding or 2nd Preceding Line 9 plus current year Summer School)</t>
  </si>
  <si>
    <t>All Charters FWADA in Area</t>
  </si>
  <si>
    <t>* for St. louis include the amount of the tax levy attributed for sales tax.</t>
  </si>
  <si>
    <t>Last Modified Date: November 3, 2023</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</si>
</sst>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quot;#,##0"/>
    <numFmt numFmtId="166" formatCode="0.000"/>
    <numFmt numFmtId="167" formatCode="#,##0.0000"/>
    <numFmt numFmtId="168" formatCode="&quot;$&quot;#,##0.0000"/>
    <numFmt numFmtId="169" formatCode="#,##0.000"/>
    <numFmt numFmtId="170" formatCode="&quot;$&quot;#,##0.00"/>
    <numFmt numFmtId="171" formatCode="&quot;Yes&quot;;&quot;Yes&quot;;&quot;No&quot;"/>
    <numFmt numFmtId="172" formatCode="&quot;True&quot;;&quot;True&quot;;&quot;False&quot;"/>
    <numFmt numFmtId="173" formatCode="&quot;On&quot;;&quot;On&quot;;&quot;Off&quot;"/>
    <numFmt numFmtId="174" formatCode="[$€-2]\ #,##0.00_);[Red]\([$€-2]\ #,##0.00\)"/>
    <numFmt numFmtId="175" formatCode="&quot;$&quot;#,##0.000000000"/>
    <numFmt numFmtId="176" formatCode="&quot;$&quot;#,##0.0000000"/>
    <numFmt numFmtId="177" formatCode="&quot;$&quot;#,##0.00000000"/>
    <numFmt numFmtId="178" formatCode="000\-000"/>
    <numFmt numFmtId="179" formatCode="_([$$-409]* #,##0.00_);_([$$-409]* \(#,##0.00\);_([$$-409]* &quot;-&quot;??_);_(@_)"/>
    <numFmt numFmtId="180" formatCode="#,##0.000000000"/>
    <numFmt numFmtId="181" formatCode="0.0%"/>
    <numFmt numFmtId="182" formatCode="0.000%"/>
    <numFmt numFmtId="183" formatCode="0.0000%"/>
    <numFmt numFmtId="184" formatCode="0.00000%"/>
    <numFmt numFmtId="185" formatCode="0.000000%"/>
    <numFmt numFmtId="186" formatCode="0.0000000%"/>
    <numFmt numFmtId="187" formatCode="0.00000000%"/>
    <numFmt numFmtId="188" formatCode="0.000000000%"/>
    <numFmt numFmtId="189" formatCode="&quot;$&quot;#,##0.000"/>
    <numFmt numFmtId="190" formatCode="_(* #,##0.0000_);_(* \(#,##0.0000\);_(* &quot;-&quot;????_);_(@_)"/>
    <numFmt numFmtId="191" formatCode="_(* #,##0.000_);_(* \(#,##0.000\);_(* &quot;-&quot;??_);_(@_)"/>
    <numFmt numFmtId="192" formatCode="_(* #,##0.0000_);_(* \(#,##0.0000\);_(* &quot;-&quot;??_);_(@_)"/>
    <numFmt numFmtId="193" formatCode="&quot;$&quot;#,##0.0"/>
    <numFmt numFmtId="194" formatCode="&quot;$&quot;#,##0.0000_);[Red]\(&quot;$&quot;#,##0.0000\)"/>
  </numFmts>
  <fonts count="76">
    <font>
      <sz val="10"/>
      <name val="Arial"/>
      <family val="0"/>
    </font>
    <font>
      <sz val="10"/>
      <color indexed="8"/>
      <name val="Arial"/>
      <family val="2"/>
    </font>
    <font>
      <sz val="8"/>
      <name val="Arial"/>
      <family val="2"/>
    </font>
    <font>
      <b/>
      <sz val="10"/>
      <name val="Arial"/>
      <family val="2"/>
    </font>
    <font>
      <b/>
      <sz val="9"/>
      <name val="Tahoma"/>
      <family val="2"/>
    </font>
    <font>
      <sz val="9"/>
      <name val="Tahoma"/>
      <family val="2"/>
    </font>
    <font>
      <sz val="11"/>
      <name val="Calibri"/>
      <family val="2"/>
    </font>
    <font>
      <sz val="16"/>
      <name val="Arial"/>
      <family val="2"/>
    </font>
    <font>
      <b/>
      <sz val="11"/>
      <name val="Arial"/>
      <family val="2"/>
    </font>
    <font>
      <sz val="11"/>
      <name val="Arial"/>
      <family val="2"/>
    </font>
    <font>
      <b/>
      <u val="single"/>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Calibri"/>
      <family val="2"/>
    </font>
    <font>
      <b/>
      <sz val="11"/>
      <name val="Calibri"/>
      <family val="2"/>
    </font>
    <font>
      <sz val="10"/>
      <name val="Calibri"/>
      <family val="2"/>
    </font>
    <font>
      <b/>
      <u val="single"/>
      <sz val="11"/>
      <color indexed="8"/>
      <name val="Calibri"/>
      <family val="2"/>
    </font>
    <font>
      <b/>
      <sz val="11"/>
      <color indexed="8"/>
      <name val="Calibri"/>
      <family val="2"/>
    </font>
    <font>
      <b/>
      <sz val="16"/>
      <color indexed="9"/>
      <name val="Arial"/>
      <family val="2"/>
    </font>
    <font>
      <sz val="10"/>
      <color indexed="8"/>
      <name val="Calibri"/>
      <family val="2"/>
    </font>
    <font>
      <b/>
      <sz val="12"/>
      <color indexed="20"/>
      <name val="Arial"/>
      <family val="2"/>
    </font>
    <font>
      <sz val="12"/>
      <color indexed="8"/>
      <name val="Calibri"/>
      <family val="2"/>
    </font>
    <font>
      <b/>
      <sz val="10"/>
      <color indexed="20"/>
      <name val="Arial"/>
      <family val="2"/>
    </font>
    <font>
      <sz val="11"/>
      <color indexed="9"/>
      <name val="Calibri"/>
      <family val="2"/>
    </font>
    <font>
      <b/>
      <sz val="11"/>
      <color indexed="9"/>
      <name val="Calibri"/>
      <family val="2"/>
    </font>
    <font>
      <b/>
      <u val="single"/>
      <sz val="11"/>
      <color indexed="9"/>
      <name val="Calibri"/>
      <family val="2"/>
    </font>
    <font>
      <sz val="12"/>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rgb="FF000000"/>
      <name val="Calibri"/>
      <family val="2"/>
    </font>
    <font>
      <sz val="11"/>
      <color theme="1"/>
      <name val="Calibri"/>
      <family val="2"/>
    </font>
    <font>
      <b/>
      <u val="single"/>
      <sz val="11"/>
      <color theme="1"/>
      <name val="Calibri"/>
      <family val="2"/>
    </font>
    <font>
      <b/>
      <sz val="11"/>
      <color theme="1"/>
      <name val="Calibri"/>
      <family val="2"/>
    </font>
    <font>
      <b/>
      <sz val="16"/>
      <color theme="0"/>
      <name val="Arial"/>
      <family val="2"/>
    </font>
    <font>
      <sz val="10"/>
      <color rgb="FF000000"/>
      <name val="Calibri"/>
      <family val="2"/>
    </font>
    <font>
      <b/>
      <sz val="12"/>
      <color rgb="FFAB0635"/>
      <name val="Arial"/>
      <family val="2"/>
    </font>
    <font>
      <sz val="12"/>
      <color theme="1"/>
      <name val="Calibri"/>
      <family val="2"/>
    </font>
    <font>
      <b/>
      <sz val="10"/>
      <color rgb="FFAB0635"/>
      <name val="Arial"/>
      <family val="2"/>
    </font>
    <font>
      <sz val="11"/>
      <color theme="0"/>
      <name val="Calibri"/>
      <family val="2"/>
    </font>
    <font>
      <b/>
      <sz val="11"/>
      <color theme="0"/>
      <name val="Calibri"/>
      <family val="2"/>
    </font>
    <font>
      <b/>
      <u val="single"/>
      <sz val="11"/>
      <color theme="0"/>
      <name val="Calibri"/>
      <family val="2"/>
    </font>
    <font>
      <sz val="12"/>
      <color theme="0"/>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indexed="43"/>
        <bgColor indexed="64"/>
      </patternFill>
    </fill>
    <fill>
      <patternFill patternType="solid">
        <fgColor rgb="FFBA8748"/>
        <bgColor indexed="64"/>
      </patternFill>
    </fill>
    <fill>
      <patternFill patternType="solid">
        <fgColor rgb="FFFFFF66"/>
        <bgColor indexed="64"/>
      </patternFill>
    </fill>
    <fill>
      <patternFill patternType="solid">
        <fgColor rgb="FF439639"/>
        <bgColor indexed="64"/>
      </patternFill>
    </fill>
    <fill>
      <patternFill patternType="solid">
        <fgColor rgb="FFFFFF9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border>
    <border>
      <left style="thin"/>
      <right/>
      <top/>
      <bottom/>
    </border>
    <border>
      <left/>
      <right style="thin"/>
      <top/>
      <bottom style="thin"/>
    </border>
    <border>
      <left style="thin"/>
      <right style="medium"/>
      <top style="thin"/>
      <bottom style="thin"/>
    </border>
    <border>
      <left style="thin"/>
      <right/>
      <top/>
      <bottom style="thin"/>
    </border>
    <border>
      <left style="thin"/>
      <right>
        <color indexed="63"/>
      </right>
      <top style="thin"/>
      <bottom style="thin"/>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right/>
      <top style="thin"/>
      <bottom style="thin"/>
    </border>
    <border>
      <left>
        <color indexed="63"/>
      </left>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08">
    <xf numFmtId="0" fontId="0" fillId="0" borderId="0" xfId="0" applyAlignment="1">
      <alignment/>
    </xf>
    <xf numFmtId="0" fontId="0" fillId="0" borderId="0" xfId="0" applyAlignment="1">
      <alignment horizontal="left"/>
    </xf>
    <xf numFmtId="165" fontId="3" fillId="0" borderId="0" xfId="0" applyNumberFormat="1" applyFont="1" applyBorder="1" applyAlignment="1">
      <alignment/>
    </xf>
    <xf numFmtId="0" fontId="0" fillId="0" borderId="0" xfId="0" applyBorder="1" applyAlignment="1">
      <alignment/>
    </xf>
    <xf numFmtId="165" fontId="0" fillId="0" borderId="0" xfId="0" applyNumberFormat="1" applyBorder="1" applyAlignment="1">
      <alignment/>
    </xf>
    <xf numFmtId="169" fontId="0" fillId="0" borderId="0" xfId="0" applyNumberFormat="1" applyBorder="1" applyAlignment="1">
      <alignment/>
    </xf>
    <xf numFmtId="0" fontId="0" fillId="0" borderId="0" xfId="0" applyFont="1" applyAlignment="1">
      <alignment/>
    </xf>
    <xf numFmtId="168" fontId="0" fillId="0" borderId="0" xfId="0" applyNumberFormat="1" applyBorder="1" applyAlignment="1">
      <alignment/>
    </xf>
    <xf numFmtId="0" fontId="3" fillId="0" borderId="0" xfId="0" applyFont="1" applyAlignment="1">
      <alignment horizontal="center"/>
    </xf>
    <xf numFmtId="168" fontId="0" fillId="0" borderId="0" xfId="0" applyNumberFormat="1" applyFont="1" applyBorder="1" applyAlignment="1">
      <alignment/>
    </xf>
    <xf numFmtId="167" fontId="0" fillId="0" borderId="0" xfId="0" applyNumberFormat="1" applyBorder="1" applyAlignment="1">
      <alignment/>
    </xf>
    <xf numFmtId="0" fontId="0" fillId="0" borderId="0" xfId="0" applyFill="1" applyAlignment="1">
      <alignment/>
    </xf>
    <xf numFmtId="167" fontId="0" fillId="0" borderId="0" xfId="0" applyNumberFormat="1" applyFill="1" applyAlignment="1">
      <alignment/>
    </xf>
    <xf numFmtId="0" fontId="0" fillId="0" borderId="0" xfId="0" applyFont="1" applyAlignment="1">
      <alignment/>
    </xf>
    <xf numFmtId="0" fontId="0" fillId="0" borderId="0" xfId="0" applyFont="1" applyFill="1" applyAlignment="1">
      <alignment/>
    </xf>
    <xf numFmtId="3" fontId="0" fillId="0" borderId="0" xfId="0" applyNumberFormat="1" applyFill="1" applyAlignment="1">
      <alignment/>
    </xf>
    <xf numFmtId="44" fontId="0" fillId="0" borderId="0" xfId="44" applyFont="1" applyFill="1" applyAlignment="1">
      <alignment/>
    </xf>
    <xf numFmtId="167" fontId="0" fillId="0" borderId="0" xfId="0" applyNumberFormat="1" applyFill="1" applyBorder="1" applyAlignment="1">
      <alignment/>
    </xf>
    <xf numFmtId="0" fontId="0" fillId="0" borderId="0" xfId="0" applyFont="1" applyFill="1" applyBorder="1" applyAlignment="1">
      <alignment/>
    </xf>
    <xf numFmtId="180" fontId="0" fillId="0" borderId="0" xfId="0" applyNumberFormat="1" applyBorder="1" applyAlignment="1">
      <alignment/>
    </xf>
    <xf numFmtId="165" fontId="0" fillId="0" borderId="0" xfId="0" applyNumberFormat="1" applyFill="1" applyBorder="1" applyAlignment="1">
      <alignment/>
    </xf>
    <xf numFmtId="10" fontId="0" fillId="0" borderId="0" xfId="0" applyNumberFormat="1" applyBorder="1" applyAlignment="1">
      <alignment/>
    </xf>
    <xf numFmtId="0" fontId="3" fillId="0" borderId="0" xfId="0" applyFont="1" applyAlignment="1" quotePrefix="1">
      <alignment horizontal="center"/>
    </xf>
    <xf numFmtId="0" fontId="3" fillId="0" borderId="0" xfId="0" applyFont="1" applyFill="1" applyAlignment="1">
      <alignment horizontal="center"/>
    </xf>
    <xf numFmtId="0" fontId="3" fillId="0" borderId="0" xfId="0" applyFont="1" applyFill="1" applyAlignment="1" quotePrefix="1">
      <alignment horizontal="center"/>
    </xf>
    <xf numFmtId="165" fontId="0" fillId="0" borderId="0" xfId="0" applyNumberFormat="1" applyFont="1" applyBorder="1" applyAlignment="1">
      <alignment horizontal="right"/>
    </xf>
    <xf numFmtId="168" fontId="0" fillId="0" borderId="0" xfId="0" applyNumberFormat="1" applyFont="1" applyBorder="1" applyAlignment="1">
      <alignment horizontal="right"/>
    </xf>
    <xf numFmtId="0" fontId="0" fillId="0" borderId="0" xfId="0" applyFont="1" applyAlignment="1">
      <alignment horizontal="left"/>
    </xf>
    <xf numFmtId="0" fontId="3" fillId="0" borderId="10" xfId="0" applyFont="1" applyBorder="1" applyAlignment="1">
      <alignment/>
    </xf>
    <xf numFmtId="170" fontId="0" fillId="0" borderId="0" xfId="0" applyNumberFormat="1" applyFill="1" applyBorder="1" applyAlignment="1">
      <alignment/>
    </xf>
    <xf numFmtId="0" fontId="6" fillId="0" borderId="0" xfId="0" applyFont="1" applyAlignment="1">
      <alignment/>
    </xf>
    <xf numFmtId="0" fontId="6" fillId="33" borderId="11" xfId="0" applyFont="1" applyFill="1" applyBorder="1" applyAlignment="1" applyProtection="1">
      <alignment/>
      <protection locked="0"/>
    </xf>
    <xf numFmtId="0" fontId="6" fillId="0" borderId="11" xfId="0" applyFont="1" applyBorder="1" applyAlignment="1">
      <alignment/>
    </xf>
    <xf numFmtId="0" fontId="6" fillId="0" borderId="11" xfId="0" applyFont="1" applyFill="1" applyBorder="1" applyAlignment="1">
      <alignment/>
    </xf>
    <xf numFmtId="3" fontId="6" fillId="33" borderId="11" xfId="58" applyNumberFormat="1" applyFont="1" applyFill="1" applyBorder="1" applyProtection="1">
      <alignment/>
      <protection locked="0"/>
    </xf>
    <xf numFmtId="165" fontId="6" fillId="33" borderId="11" xfId="58" applyNumberFormat="1" applyFont="1" applyFill="1" applyBorder="1" applyProtection="1">
      <alignment/>
      <protection locked="0"/>
    </xf>
    <xf numFmtId="43" fontId="6" fillId="0" borderId="11" xfId="42" applyFont="1" applyBorder="1" applyAlignment="1">
      <alignment/>
    </xf>
    <xf numFmtId="167" fontId="6" fillId="33" borderId="11" xfId="0" applyNumberFormat="1" applyFont="1" applyFill="1" applyBorder="1" applyAlignment="1" applyProtection="1">
      <alignment/>
      <protection locked="0"/>
    </xf>
    <xf numFmtId="167" fontId="6" fillId="33" borderId="11" xfId="58" applyNumberFormat="1" applyFont="1" applyFill="1" applyBorder="1" applyProtection="1">
      <alignment/>
      <protection locked="0"/>
    </xf>
    <xf numFmtId="167" fontId="6" fillId="0" borderId="11" xfId="0" applyNumberFormat="1" applyFont="1" applyBorder="1" applyAlignment="1">
      <alignment/>
    </xf>
    <xf numFmtId="10" fontId="6" fillId="33" borderId="11" xfId="0" applyNumberFormat="1" applyFont="1" applyFill="1" applyBorder="1" applyAlignment="1" applyProtection="1">
      <alignment/>
      <protection locked="0"/>
    </xf>
    <xf numFmtId="170" fontId="6" fillId="33" borderId="11" xfId="58" applyNumberFormat="1" applyFont="1" applyFill="1" applyBorder="1" applyProtection="1">
      <alignment/>
      <protection locked="0"/>
    </xf>
    <xf numFmtId="170" fontId="62" fillId="33" borderId="11" xfId="58" applyNumberFormat="1" applyFont="1" applyFill="1" applyBorder="1" applyAlignment="1" applyProtection="1">
      <alignment horizontal="right" vertical="center" readingOrder="1"/>
      <protection locked="0"/>
    </xf>
    <xf numFmtId="170" fontId="6" fillId="33" borderId="11" xfId="0" applyNumberFormat="1" applyFont="1" applyFill="1" applyBorder="1" applyAlignment="1" applyProtection="1">
      <alignment/>
      <protection locked="0"/>
    </xf>
    <xf numFmtId="170" fontId="62" fillId="33" borderId="11" xfId="0" applyNumberFormat="1" applyFont="1" applyFill="1" applyBorder="1" applyAlignment="1" applyProtection="1">
      <alignment horizontal="right" readingOrder="1"/>
      <protection locked="0"/>
    </xf>
    <xf numFmtId="0" fontId="6" fillId="0" borderId="11" xfId="0" applyFont="1" applyFill="1" applyBorder="1" applyAlignment="1">
      <alignment/>
    </xf>
    <xf numFmtId="44" fontId="30" fillId="0" borderId="11" xfId="0" applyNumberFormat="1" applyFont="1" applyBorder="1" applyAlignment="1">
      <alignment/>
    </xf>
    <xf numFmtId="0" fontId="31" fillId="0" borderId="0" xfId="0" applyFont="1" applyAlignment="1">
      <alignment/>
    </xf>
    <xf numFmtId="170" fontId="0" fillId="0" borderId="0" xfId="0" applyNumberFormat="1" applyBorder="1" applyAlignment="1">
      <alignment/>
    </xf>
    <xf numFmtId="192" fontId="0" fillId="0" borderId="0" xfId="42" applyNumberFormat="1" applyFont="1" applyBorder="1" applyAlignment="1">
      <alignment/>
    </xf>
    <xf numFmtId="192" fontId="0" fillId="0" borderId="0" xfId="42" applyNumberFormat="1" applyFont="1" applyAlignment="1">
      <alignment/>
    </xf>
    <xf numFmtId="192" fontId="0" fillId="0" borderId="0" xfId="42" applyNumberFormat="1" applyFont="1" applyBorder="1" applyAlignment="1">
      <alignment/>
    </xf>
    <xf numFmtId="0" fontId="30" fillId="0" borderId="0" xfId="0" applyFont="1" applyAlignment="1">
      <alignment horizontal="center"/>
    </xf>
    <xf numFmtId="0" fontId="63" fillId="0" borderId="0" xfId="0" applyFont="1" applyAlignment="1">
      <alignment vertical="center"/>
    </xf>
    <xf numFmtId="0" fontId="6" fillId="0" borderId="0" xfId="0" applyFont="1" applyAlignment="1">
      <alignment/>
    </xf>
    <xf numFmtId="0" fontId="30" fillId="0" borderId="0" xfId="0" applyFont="1" applyAlignment="1">
      <alignment/>
    </xf>
    <xf numFmtId="0" fontId="6" fillId="0" borderId="0" xfId="0" applyFont="1" applyBorder="1" applyAlignment="1">
      <alignment/>
    </xf>
    <xf numFmtId="44" fontId="6" fillId="0" borderId="0" xfId="44" applyFont="1" applyBorder="1" applyAlignment="1">
      <alignment/>
    </xf>
    <xf numFmtId="0" fontId="30" fillId="0" borderId="0" xfId="59" applyFont="1" applyAlignment="1">
      <alignment/>
      <protection/>
    </xf>
    <xf numFmtId="170" fontId="3" fillId="0" borderId="0" xfId="59" applyNumberFormat="1" applyFont="1" applyBorder="1">
      <alignment/>
      <protection/>
    </xf>
    <xf numFmtId="164" fontId="0" fillId="0" borderId="0" xfId="0" applyNumberFormat="1" applyFill="1" applyBorder="1" applyAlignment="1">
      <alignment/>
    </xf>
    <xf numFmtId="168" fontId="0" fillId="0" borderId="0" xfId="0" applyNumberFormat="1" applyAlignment="1">
      <alignment/>
    </xf>
    <xf numFmtId="0" fontId="3" fillId="0" borderId="0" xfId="0" applyFont="1" applyFill="1" applyAlignment="1">
      <alignment/>
    </xf>
    <xf numFmtId="168" fontId="3" fillId="0" borderId="0" xfId="0" applyNumberFormat="1" applyFont="1" applyFill="1" applyBorder="1" applyAlignment="1">
      <alignment/>
    </xf>
    <xf numFmtId="168" fontId="0" fillId="0" borderId="0" xfId="0" applyNumberFormat="1" applyFill="1" applyAlignment="1">
      <alignment/>
    </xf>
    <xf numFmtId="0" fontId="61" fillId="0" borderId="0" xfId="0" applyFont="1" applyAlignment="1">
      <alignment/>
    </xf>
    <xf numFmtId="0" fontId="61" fillId="0" borderId="0" xfId="0" applyFont="1" applyBorder="1" applyAlignment="1">
      <alignment/>
    </xf>
    <xf numFmtId="0" fontId="61" fillId="0" borderId="0" xfId="0" applyFont="1" applyFill="1" applyAlignment="1">
      <alignment/>
    </xf>
    <xf numFmtId="170" fontId="3" fillId="0" borderId="0" xfId="0" applyNumberFormat="1" applyFont="1" applyAlignment="1">
      <alignment/>
    </xf>
    <xf numFmtId="0" fontId="30" fillId="0" borderId="0" xfId="0" applyFont="1" applyFill="1" applyAlignment="1">
      <alignment horizontal="center"/>
    </xf>
    <xf numFmtId="0" fontId="6" fillId="0" borderId="0" xfId="0" applyFont="1" applyFill="1" applyAlignment="1">
      <alignment/>
    </xf>
    <xf numFmtId="0" fontId="64" fillId="0" borderId="0" xfId="0" applyFont="1" applyAlignment="1">
      <alignment/>
    </xf>
    <xf numFmtId="0" fontId="63" fillId="0" borderId="0" xfId="0" applyFont="1" applyAlignment="1">
      <alignment/>
    </xf>
    <xf numFmtId="3" fontId="6" fillId="33" borderId="0" xfId="0" applyNumberFormat="1" applyFont="1" applyFill="1" applyAlignment="1" applyProtection="1">
      <alignment/>
      <protection locked="0"/>
    </xf>
    <xf numFmtId="3" fontId="6" fillId="0" borderId="0" xfId="0" applyNumberFormat="1" applyFont="1" applyFill="1" applyAlignment="1">
      <alignment/>
    </xf>
    <xf numFmtId="194" fontId="6" fillId="0" borderId="0" xfId="0" applyNumberFormat="1" applyFont="1" applyFill="1" applyAlignment="1">
      <alignment horizontal="right"/>
    </xf>
    <xf numFmtId="0" fontId="64" fillId="0" borderId="0" xfId="0" applyFont="1" applyFill="1" applyAlignment="1">
      <alignment/>
    </xf>
    <xf numFmtId="0" fontId="63" fillId="0" borderId="0" xfId="0" applyFont="1" applyFill="1" applyAlignment="1">
      <alignment/>
    </xf>
    <xf numFmtId="194" fontId="63" fillId="0" borderId="0" xfId="0" applyNumberFormat="1" applyFont="1" applyFill="1" applyAlignment="1">
      <alignment horizontal="right"/>
    </xf>
    <xf numFmtId="188" fontId="0" fillId="33" borderId="0" xfId="62" applyNumberFormat="1" applyFont="1" applyFill="1" applyAlignment="1" applyProtection="1">
      <alignment/>
      <protection locked="0"/>
    </xf>
    <xf numFmtId="43" fontId="6" fillId="33" borderId="11" xfId="42" applyFont="1" applyFill="1" applyBorder="1" applyAlignment="1" applyProtection="1">
      <alignment/>
      <protection locked="0"/>
    </xf>
    <xf numFmtId="44" fontId="6" fillId="33" borderId="11" xfId="44" applyFont="1" applyFill="1" applyBorder="1" applyAlignment="1" applyProtection="1">
      <alignment/>
      <protection locked="0"/>
    </xf>
    <xf numFmtId="190" fontId="6" fillId="33" borderId="11" xfId="42" applyNumberFormat="1" applyFont="1" applyFill="1" applyBorder="1" applyAlignment="1" applyProtection="1">
      <alignment wrapText="1"/>
      <protection locked="0"/>
    </xf>
    <xf numFmtId="190" fontId="6" fillId="33" borderId="11" xfId="42" applyNumberFormat="1" applyFont="1" applyFill="1" applyBorder="1" applyAlignment="1" applyProtection="1">
      <alignment/>
      <protection locked="0"/>
    </xf>
    <xf numFmtId="0" fontId="6" fillId="0" borderId="0" xfId="0" applyFont="1" applyAlignment="1" applyProtection="1">
      <alignment/>
      <protection locked="0"/>
    </xf>
    <xf numFmtId="0" fontId="65" fillId="0" borderId="0" xfId="0" applyFont="1" applyFill="1" applyAlignment="1" applyProtection="1">
      <alignment/>
      <protection locked="0"/>
    </xf>
    <xf numFmtId="194" fontId="65" fillId="0" borderId="0" xfId="0" applyNumberFormat="1" applyFont="1" applyFill="1" applyAlignment="1" applyProtection="1">
      <alignment horizontal="right"/>
      <protection locked="0"/>
    </xf>
    <xf numFmtId="0" fontId="6" fillId="0" borderId="0" xfId="0" applyFont="1" applyFill="1" applyAlignment="1" applyProtection="1">
      <alignment/>
      <protection locked="0"/>
    </xf>
    <xf numFmtId="194" fontId="6" fillId="0" borderId="0" xfId="0" applyNumberFormat="1" applyFont="1" applyFill="1" applyAlignment="1" applyProtection="1">
      <alignment/>
      <protection locked="0"/>
    </xf>
    <xf numFmtId="0" fontId="6" fillId="33" borderId="0" xfId="0" applyFont="1" applyFill="1" applyAlignment="1" applyProtection="1">
      <alignment/>
      <protection locked="0"/>
    </xf>
    <xf numFmtId="0" fontId="66" fillId="34" borderId="12" xfId="0" applyFont="1" applyFill="1" applyBorder="1" applyAlignment="1">
      <alignment horizontal="center"/>
    </xf>
    <xf numFmtId="0" fontId="66" fillId="34" borderId="0" xfId="0" applyFont="1" applyFill="1" applyBorder="1" applyAlignment="1">
      <alignment horizontal="center"/>
    </xf>
    <xf numFmtId="0" fontId="66" fillId="34" borderId="13" xfId="0" applyFont="1" applyFill="1" applyBorder="1" applyAlignment="1">
      <alignment horizontal="center"/>
    </xf>
    <xf numFmtId="0" fontId="7" fillId="0" borderId="12" xfId="0" applyFont="1" applyBorder="1" applyAlignment="1">
      <alignment/>
    </xf>
    <xf numFmtId="0" fontId="7" fillId="0" borderId="0" xfId="0" applyFont="1" applyBorder="1" applyAlignment="1">
      <alignment/>
    </xf>
    <xf numFmtId="0" fontId="7" fillId="0" borderId="13" xfId="0" applyFont="1" applyBorder="1" applyAlignment="1">
      <alignment/>
    </xf>
    <xf numFmtId="0" fontId="7" fillId="0" borderId="0" xfId="0" applyFont="1" applyAlignment="1">
      <alignment/>
    </xf>
    <xf numFmtId="0" fontId="8" fillId="0" borderId="12" xfId="0" applyFont="1" applyBorder="1" applyAlignment="1">
      <alignment/>
    </xf>
    <xf numFmtId="0" fontId="9" fillId="0" borderId="0" xfId="0" applyFont="1" applyBorder="1" applyAlignment="1">
      <alignment/>
    </xf>
    <xf numFmtId="0" fontId="0" fillId="0" borderId="13" xfId="0" applyBorder="1" applyAlignment="1">
      <alignment/>
    </xf>
    <xf numFmtId="0" fontId="0" fillId="0" borderId="12" xfId="0" applyBorder="1" applyAlignment="1">
      <alignment/>
    </xf>
    <xf numFmtId="0" fontId="8" fillId="0" borderId="0" xfId="0" applyFont="1" applyBorder="1" applyAlignment="1">
      <alignment/>
    </xf>
    <xf numFmtId="0" fontId="8" fillId="0" borderId="12" xfId="0" applyNumberFormat="1" applyFont="1" applyBorder="1" applyAlignment="1" quotePrefix="1">
      <alignment horizontal="right"/>
    </xf>
    <xf numFmtId="0" fontId="9" fillId="0" borderId="12" xfId="0" applyFont="1" applyBorder="1" applyAlignment="1">
      <alignment/>
    </xf>
    <xf numFmtId="0" fontId="0" fillId="0" borderId="0" xfId="0" applyFont="1" applyBorder="1" applyAlignment="1">
      <alignment/>
    </xf>
    <xf numFmtId="0" fontId="0" fillId="0" borderId="0" xfId="0" applyFont="1" applyBorder="1" applyAlignment="1">
      <alignment horizontal="right"/>
    </xf>
    <xf numFmtId="0" fontId="8" fillId="0" borderId="12" xfId="0" applyFont="1" applyBorder="1" applyAlignment="1" quotePrefix="1">
      <alignment horizontal="right"/>
    </xf>
    <xf numFmtId="0" fontId="9" fillId="0" borderId="14" xfId="0" applyFont="1" applyBorder="1" applyAlignment="1">
      <alignment/>
    </xf>
    <xf numFmtId="0" fontId="9" fillId="0" borderId="15" xfId="0" applyFont="1" applyBorder="1" applyAlignment="1">
      <alignment/>
    </xf>
    <xf numFmtId="0" fontId="0" fillId="0" borderId="15" xfId="0" applyBorder="1" applyAlignment="1">
      <alignment/>
    </xf>
    <xf numFmtId="0" fontId="0" fillId="0" borderId="16" xfId="0" applyBorder="1" applyAlignment="1">
      <alignment/>
    </xf>
    <xf numFmtId="0" fontId="9" fillId="0" borderId="0" xfId="0" applyFont="1" applyAlignment="1">
      <alignment/>
    </xf>
    <xf numFmtId="0" fontId="6" fillId="0" borderId="0" xfId="0" applyFont="1" applyAlignment="1">
      <alignment/>
    </xf>
    <xf numFmtId="0" fontId="67" fillId="0" borderId="0" xfId="0" applyFont="1" applyAlignment="1">
      <alignment/>
    </xf>
    <xf numFmtId="0" fontId="3" fillId="0" borderId="0" xfId="0" applyFont="1" applyAlignment="1">
      <alignment/>
    </xf>
    <xf numFmtId="0" fontId="0" fillId="0" borderId="0" xfId="0" applyFont="1" applyAlignment="1">
      <alignment horizontal="center"/>
    </xf>
    <xf numFmtId="178" fontId="3" fillId="0" borderId="0" xfId="0" applyNumberFormat="1" applyFont="1" applyAlignment="1">
      <alignment horizontal="center"/>
    </xf>
    <xf numFmtId="164" fontId="60" fillId="0" borderId="0" xfId="0" applyNumberFormat="1" applyFont="1" applyBorder="1" applyAlignment="1">
      <alignment/>
    </xf>
    <xf numFmtId="0" fontId="68" fillId="0" borderId="0" xfId="0" applyFont="1" applyBorder="1" applyAlignment="1">
      <alignment/>
    </xf>
    <xf numFmtId="178" fontId="0" fillId="0" borderId="17" xfId="0" applyNumberFormat="1" applyBorder="1" applyAlignment="1">
      <alignment/>
    </xf>
    <xf numFmtId="178" fontId="0" fillId="0" borderId="0" xfId="0" applyNumberFormat="1" applyAlignment="1">
      <alignment/>
    </xf>
    <xf numFmtId="178" fontId="0" fillId="0" borderId="0" xfId="0" applyNumberFormat="1" applyAlignment="1">
      <alignment horizontal="center"/>
    </xf>
    <xf numFmtId="167" fontId="0" fillId="0" borderId="0" xfId="0" applyNumberFormat="1" applyAlignment="1">
      <alignment/>
    </xf>
    <xf numFmtId="164" fontId="69" fillId="0" borderId="0" xfId="0" applyNumberFormat="1" applyFont="1" applyBorder="1" applyAlignment="1">
      <alignment/>
    </xf>
    <xf numFmtId="0" fontId="0" fillId="0" borderId="18" xfId="0" applyBorder="1" applyAlignment="1">
      <alignment/>
    </xf>
    <xf numFmtId="0" fontId="3" fillId="0" borderId="0" xfId="0" applyFont="1" applyBorder="1" applyAlignment="1">
      <alignment horizontal="right"/>
    </xf>
    <xf numFmtId="14" fontId="3" fillId="35" borderId="19" xfId="0" applyNumberFormat="1" applyFont="1" applyFill="1" applyBorder="1" applyAlignment="1" applyProtection="1">
      <alignment horizontal="center"/>
      <protection locked="0"/>
    </xf>
    <xf numFmtId="0" fontId="0" fillId="0" borderId="0" xfId="0" applyAlignment="1">
      <alignment horizontal="center"/>
    </xf>
    <xf numFmtId="178" fontId="0" fillId="0" borderId="0" xfId="0" applyNumberFormat="1" applyFont="1" applyFill="1" applyBorder="1" applyAlignment="1" applyProtection="1">
      <alignment horizontal="center"/>
      <protection locked="0"/>
    </xf>
    <xf numFmtId="14" fontId="0" fillId="0" borderId="0" xfId="0" applyNumberFormat="1" applyFont="1" applyFill="1" applyBorder="1" applyAlignment="1" applyProtection="1">
      <alignment horizontal="center"/>
      <protection locked="0"/>
    </xf>
    <xf numFmtId="49" fontId="0" fillId="0" borderId="0" xfId="0" applyNumberFormat="1" applyAlignment="1">
      <alignment/>
    </xf>
    <xf numFmtId="0" fontId="70" fillId="0" borderId="0" xfId="0" applyFont="1" applyBorder="1" applyAlignment="1">
      <alignment/>
    </xf>
    <xf numFmtId="0" fontId="0" fillId="0" borderId="11" xfId="0" applyBorder="1" applyAlignment="1">
      <alignment/>
    </xf>
    <xf numFmtId="0" fontId="3" fillId="0" borderId="11" xfId="0" applyFont="1" applyBorder="1" applyAlignment="1">
      <alignment horizontal="center"/>
    </xf>
    <xf numFmtId="0" fontId="47" fillId="36" borderId="11" xfId="0" applyFont="1" applyFill="1" applyBorder="1" applyAlignment="1">
      <alignment horizontal="center"/>
    </xf>
    <xf numFmtId="0" fontId="47" fillId="36" borderId="20" xfId="0" applyFont="1" applyFill="1" applyBorder="1" applyAlignment="1">
      <alignment horizontal="center"/>
    </xf>
    <xf numFmtId="0" fontId="0" fillId="0" borderId="11" xfId="0" applyNumberFormat="1" applyFont="1" applyBorder="1" applyAlignment="1">
      <alignment horizontal="center" vertical="center"/>
    </xf>
    <xf numFmtId="0" fontId="3" fillId="0" borderId="11" xfId="0" applyFont="1" applyBorder="1" applyAlignment="1">
      <alignment vertical="center"/>
    </xf>
    <xf numFmtId="167" fontId="0" fillId="37" borderId="11" xfId="0" applyNumberFormat="1" applyFont="1" applyFill="1" applyBorder="1" applyAlignment="1" applyProtection="1">
      <alignment horizontal="center" vertical="center"/>
      <protection locked="0"/>
    </xf>
    <xf numFmtId="4" fontId="0" fillId="37" borderId="11" xfId="0" applyNumberFormat="1" applyFont="1" applyFill="1" applyBorder="1" applyAlignment="1" applyProtection="1">
      <alignment horizontal="center" vertical="center"/>
      <protection locked="0"/>
    </xf>
    <xf numFmtId="3" fontId="0" fillId="37" borderId="11" xfId="0" applyNumberFormat="1" applyFont="1" applyFill="1" applyBorder="1" applyAlignment="1" applyProtection="1">
      <alignment horizontal="center" vertical="center"/>
      <protection locked="0"/>
    </xf>
    <xf numFmtId="0" fontId="3" fillId="0" borderId="11" xfId="0" applyFont="1" applyFill="1" applyBorder="1" applyAlignment="1">
      <alignment vertical="center"/>
    </xf>
    <xf numFmtId="49" fontId="3" fillId="0" borderId="11" xfId="0" applyNumberFormat="1" applyFont="1" applyBorder="1" applyAlignment="1" applyProtection="1">
      <alignment horizontal="center"/>
      <protection/>
    </xf>
    <xf numFmtId="0" fontId="3" fillId="0" borderId="11" xfId="0" applyFont="1" applyBorder="1" applyAlignment="1" applyProtection="1">
      <alignment horizontal="center"/>
      <protection/>
    </xf>
    <xf numFmtId="167" fontId="0" fillId="0" borderId="11" xfId="0" applyNumberFormat="1" applyFont="1" applyFill="1" applyBorder="1" applyAlignment="1" applyProtection="1">
      <alignment horizontal="center" wrapText="1"/>
      <protection/>
    </xf>
    <xf numFmtId="0" fontId="3" fillId="0" borderId="11" xfId="0" applyFont="1" applyBorder="1" applyAlignment="1" applyProtection="1">
      <alignment/>
      <protection/>
    </xf>
    <xf numFmtId="0" fontId="0" fillId="0" borderId="11" xfId="0" applyFont="1" applyBorder="1" applyAlignment="1" applyProtection="1">
      <alignment/>
      <protection/>
    </xf>
    <xf numFmtId="10" fontId="3" fillId="0" borderId="11" xfId="0" applyNumberFormat="1" applyFont="1" applyFill="1" applyBorder="1" applyAlignment="1" applyProtection="1">
      <alignment horizontal="center" wrapText="1"/>
      <protection/>
    </xf>
    <xf numFmtId="4" fontId="0" fillId="0" borderId="11" xfId="0" applyNumberFormat="1" applyFont="1" applyFill="1" applyBorder="1" applyAlignment="1" applyProtection="1">
      <alignment horizontal="center" wrapText="1"/>
      <protection/>
    </xf>
    <xf numFmtId="167" fontId="44" fillId="36" borderId="11" xfId="0" applyNumberFormat="1" applyFont="1" applyFill="1" applyBorder="1" applyAlignment="1" applyProtection="1">
      <alignment horizontal="center" wrapText="1"/>
      <protection/>
    </xf>
    <xf numFmtId="3" fontId="0" fillId="0" borderId="11" xfId="0" applyNumberFormat="1" applyFont="1" applyFill="1" applyBorder="1" applyAlignment="1" applyProtection="1">
      <alignment horizontal="center" wrapText="1"/>
      <protection/>
    </xf>
    <xf numFmtId="167" fontId="0" fillId="0" borderId="11" xfId="0" applyNumberFormat="1" applyFont="1" applyBorder="1" applyAlignment="1" applyProtection="1">
      <alignment horizontal="center"/>
      <protection/>
    </xf>
    <xf numFmtId="167" fontId="44" fillId="36" borderId="11" xfId="0" applyNumberFormat="1" applyFont="1" applyFill="1" applyBorder="1" applyAlignment="1" applyProtection="1">
      <alignment horizontal="center"/>
      <protection/>
    </xf>
    <xf numFmtId="167" fontId="47" fillId="36" borderId="11" xfId="0" applyNumberFormat="1" applyFont="1" applyFill="1" applyBorder="1" applyAlignment="1" applyProtection="1">
      <alignment horizontal="center"/>
      <protection/>
    </xf>
    <xf numFmtId="0" fontId="6" fillId="0" borderId="18" xfId="0" applyFont="1" applyBorder="1" applyAlignment="1" applyProtection="1">
      <alignment/>
      <protection/>
    </xf>
    <xf numFmtId="0" fontId="0" fillId="0" borderId="0" xfId="0" applyFont="1" applyBorder="1" applyAlignment="1" applyProtection="1">
      <alignment/>
      <protection/>
    </xf>
    <xf numFmtId="167" fontId="0" fillId="0" borderId="0" xfId="0"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17" xfId="0" applyFont="1" applyFill="1" applyBorder="1" applyAlignment="1" applyProtection="1">
      <alignment/>
      <protection/>
    </xf>
    <xf numFmtId="0" fontId="67" fillId="0" borderId="21" xfId="0" applyFont="1" applyBorder="1" applyAlignment="1" applyProtection="1">
      <alignment/>
      <protection/>
    </xf>
    <xf numFmtId="0" fontId="0" fillId="0" borderId="10" xfId="0" applyFont="1" applyBorder="1" applyAlignment="1" applyProtection="1">
      <alignment/>
      <protection/>
    </xf>
    <xf numFmtId="0" fontId="0" fillId="0" borderId="10" xfId="0" applyFont="1" applyFill="1" applyBorder="1" applyAlignment="1" applyProtection="1">
      <alignment/>
      <protection/>
    </xf>
    <xf numFmtId="0" fontId="0" fillId="0" borderId="19" xfId="0" applyFont="1" applyFill="1" applyBorder="1" applyAlignment="1" applyProtection="1">
      <alignment/>
      <protection/>
    </xf>
    <xf numFmtId="10" fontId="3" fillId="33" borderId="11" xfId="0" applyNumberFormat="1" applyFont="1" applyFill="1" applyBorder="1" applyAlignment="1" applyProtection="1">
      <alignment horizontal="center" wrapText="1"/>
      <protection locked="0"/>
    </xf>
    <xf numFmtId="49" fontId="3" fillId="0" borderId="11" xfId="0" applyNumberFormat="1" applyFont="1" applyBorder="1" applyAlignment="1" applyProtection="1" quotePrefix="1">
      <alignment horizontal="center"/>
      <protection/>
    </xf>
    <xf numFmtId="0" fontId="3" fillId="0" borderId="11" xfId="0" applyFont="1" applyBorder="1" applyAlignment="1" applyProtection="1">
      <alignment wrapText="1"/>
      <protection/>
    </xf>
    <xf numFmtId="0" fontId="71" fillId="38" borderId="11" xfId="0" applyFont="1" applyFill="1" applyBorder="1" applyAlignment="1">
      <alignment/>
    </xf>
    <xf numFmtId="0" fontId="72" fillId="38" borderId="11" xfId="0" applyFont="1" applyFill="1" applyBorder="1" applyAlignment="1">
      <alignment/>
    </xf>
    <xf numFmtId="0" fontId="72" fillId="38" borderId="11" xfId="0" applyFont="1" applyFill="1" applyBorder="1" applyAlignment="1">
      <alignment horizontal="left"/>
    </xf>
    <xf numFmtId="0" fontId="72" fillId="38" borderId="11" xfId="0" applyFont="1" applyFill="1" applyBorder="1" applyAlignment="1" applyProtection="1">
      <alignment/>
      <protection locked="0"/>
    </xf>
    <xf numFmtId="0" fontId="72" fillId="38" borderId="22" xfId="0" applyFont="1" applyFill="1" applyBorder="1" applyAlignment="1">
      <alignment/>
    </xf>
    <xf numFmtId="0" fontId="72" fillId="38" borderId="11" xfId="0" applyFont="1" applyFill="1" applyBorder="1" applyAlignment="1">
      <alignment horizontal="left" wrapText="1"/>
    </xf>
    <xf numFmtId="0" fontId="73" fillId="38" borderId="0" xfId="0" applyFont="1" applyFill="1" applyAlignment="1">
      <alignment/>
    </xf>
    <xf numFmtId="0" fontId="72" fillId="38" borderId="0" xfId="0" applyFont="1" applyFill="1" applyAlignment="1">
      <alignment/>
    </xf>
    <xf numFmtId="0" fontId="47" fillId="38" borderId="0" xfId="0" applyFont="1" applyFill="1" applyAlignment="1">
      <alignment horizontal="center"/>
    </xf>
    <xf numFmtId="0" fontId="44" fillId="38" borderId="0" xfId="0" applyFont="1" applyFill="1" applyAlignment="1">
      <alignment/>
    </xf>
    <xf numFmtId="0" fontId="47" fillId="38" borderId="0" xfId="0" applyFont="1" applyFill="1" applyBorder="1" applyAlignment="1">
      <alignment horizontal="center"/>
    </xf>
    <xf numFmtId="0" fontId="44" fillId="38" borderId="0" xfId="0" applyFont="1" applyFill="1" applyAlignment="1">
      <alignment horizontal="left"/>
    </xf>
    <xf numFmtId="168" fontId="44" fillId="38" borderId="0" xfId="0" applyNumberFormat="1" applyFont="1" applyFill="1" applyBorder="1" applyAlignment="1">
      <alignment/>
    </xf>
    <xf numFmtId="168" fontId="44" fillId="38" borderId="0" xfId="0" applyNumberFormat="1" applyFont="1" applyFill="1" applyBorder="1" applyAlignment="1" quotePrefix="1">
      <alignment horizontal="right"/>
    </xf>
    <xf numFmtId="0" fontId="47" fillId="38" borderId="0" xfId="0" applyFont="1" applyFill="1" applyAlignment="1">
      <alignment/>
    </xf>
    <xf numFmtId="167" fontId="47" fillId="38" borderId="0" xfId="0" applyNumberFormat="1" applyFont="1" applyFill="1" applyBorder="1" applyAlignment="1">
      <alignment/>
    </xf>
    <xf numFmtId="168" fontId="47" fillId="38" borderId="0" xfId="0" applyNumberFormat="1" applyFont="1" applyFill="1" applyBorder="1" applyAlignment="1">
      <alignment/>
    </xf>
    <xf numFmtId="0" fontId="72" fillId="38" borderId="0" xfId="0" applyFont="1" applyFill="1" applyAlignment="1">
      <alignment vertical="center"/>
    </xf>
    <xf numFmtId="192" fontId="47" fillId="38" borderId="0" xfId="42" applyNumberFormat="1" applyFont="1" applyFill="1" applyBorder="1" applyAlignment="1">
      <alignment/>
    </xf>
    <xf numFmtId="0" fontId="44" fillId="36" borderId="0" xfId="0" applyFont="1" applyFill="1" applyAlignment="1">
      <alignment/>
    </xf>
    <xf numFmtId="168" fontId="44" fillId="36" borderId="0" xfId="0" applyNumberFormat="1" applyFont="1" applyFill="1" applyBorder="1" applyAlignment="1">
      <alignment/>
    </xf>
    <xf numFmtId="0" fontId="72" fillId="36" borderId="0" xfId="0" applyFont="1" applyFill="1" applyAlignment="1">
      <alignment vertical="center"/>
    </xf>
    <xf numFmtId="192" fontId="44" fillId="36" borderId="0" xfId="42" applyNumberFormat="1" applyFont="1" applyFill="1" applyBorder="1" applyAlignment="1">
      <alignment/>
    </xf>
    <xf numFmtId="10" fontId="0" fillId="33" borderId="11" xfId="0" applyNumberFormat="1" applyFont="1" applyFill="1" applyBorder="1" applyAlignment="1" applyProtection="1">
      <alignment horizontal="center" wrapText="1"/>
      <protection locked="0"/>
    </xf>
    <xf numFmtId="0" fontId="66" fillId="38" borderId="23" xfId="0" applyFont="1" applyFill="1" applyBorder="1" applyAlignment="1">
      <alignment horizontal="center"/>
    </xf>
    <xf numFmtId="0" fontId="66" fillId="38" borderId="24" xfId="0" applyFont="1" applyFill="1" applyBorder="1" applyAlignment="1">
      <alignment horizontal="center"/>
    </xf>
    <xf numFmtId="0" fontId="66" fillId="38" borderId="25" xfId="0" applyFont="1" applyFill="1" applyBorder="1" applyAlignment="1">
      <alignment horizontal="center"/>
    </xf>
    <xf numFmtId="0" fontId="74" fillId="36" borderId="23" xfId="0" applyFont="1" applyFill="1" applyBorder="1" applyAlignment="1">
      <alignment horizontal="center"/>
    </xf>
    <xf numFmtId="0" fontId="74" fillId="36" borderId="24" xfId="0" applyFont="1" applyFill="1" applyBorder="1" applyAlignment="1">
      <alignment horizontal="center"/>
    </xf>
    <xf numFmtId="0" fontId="74" fillId="36" borderId="25" xfId="0" applyFont="1" applyFill="1" applyBorder="1" applyAlignment="1">
      <alignment horizontal="center"/>
    </xf>
    <xf numFmtId="0" fontId="66" fillId="38" borderId="26" xfId="0" applyFont="1" applyFill="1" applyBorder="1" applyAlignment="1">
      <alignment horizontal="center"/>
    </xf>
    <xf numFmtId="0" fontId="66" fillId="38" borderId="27" xfId="0" applyFont="1" applyFill="1" applyBorder="1" applyAlignment="1">
      <alignment horizontal="center"/>
    </xf>
    <xf numFmtId="0" fontId="66" fillId="38" borderId="28" xfId="0" applyFont="1" applyFill="1" applyBorder="1" applyAlignment="1">
      <alignment horizontal="center"/>
    </xf>
    <xf numFmtId="0" fontId="68" fillId="0" borderId="18" xfId="0" applyFont="1" applyBorder="1" applyAlignment="1">
      <alignment horizontal="center"/>
    </xf>
    <xf numFmtId="0" fontId="68" fillId="0" borderId="0" xfId="0" applyFont="1" applyBorder="1" applyAlignment="1">
      <alignment horizontal="center"/>
    </xf>
    <xf numFmtId="178" fontId="10" fillId="35" borderId="10" xfId="0" applyNumberFormat="1" applyFont="1" applyFill="1" applyBorder="1" applyAlignment="1" applyProtection="1">
      <alignment horizontal="center"/>
      <protection locked="0"/>
    </xf>
    <xf numFmtId="0" fontId="10" fillId="39" borderId="29" xfId="0" applyFont="1" applyFill="1" applyBorder="1" applyAlignment="1" applyProtection="1">
      <alignment horizontal="center"/>
      <protection locked="0"/>
    </xf>
    <xf numFmtId="0" fontId="70" fillId="0" borderId="21" xfId="0" applyFont="1" applyBorder="1" applyAlignment="1">
      <alignment horizontal="center"/>
    </xf>
    <xf numFmtId="0" fontId="70" fillId="0" borderId="10" xfId="0" applyFont="1" applyBorder="1" applyAlignment="1">
      <alignment horizontal="center"/>
    </xf>
    <xf numFmtId="0" fontId="66" fillId="38" borderId="22" xfId="0" applyFont="1" applyFill="1" applyBorder="1" applyAlignment="1" applyProtection="1">
      <alignment horizontal="center"/>
      <protection/>
    </xf>
    <xf numFmtId="0" fontId="66" fillId="38" borderId="29" xfId="0" applyFont="1" applyFill="1" applyBorder="1" applyAlignment="1" applyProtection="1">
      <alignment horizontal="center"/>
      <protection/>
    </xf>
    <xf numFmtId="0" fontId="66" fillId="38" borderId="30" xfId="0" applyFont="1" applyFill="1" applyBorder="1" applyAlignment="1" applyProtection="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te" xfId="60"/>
    <cellStyle name="Output" xfId="61"/>
    <cellStyle name="Percent" xfId="62"/>
    <cellStyle name="Title" xfId="63"/>
    <cellStyle name="Total" xfId="64"/>
    <cellStyle name="Warning Text" xfId="65"/>
  </cellStyles>
  <dxfs count="4">
    <dxf>
      <fill>
        <patternFill>
          <bgColor theme="1"/>
        </patternFill>
      </fill>
    </dxf>
    <dxf>
      <fill>
        <patternFill patternType="solid">
          <fgColor theme="1"/>
          <bgColor theme="1"/>
        </patternFill>
      </fill>
    </dxf>
    <dxf>
      <fill>
        <patternFill>
          <bgColor theme="1"/>
        </patternFill>
      </fill>
    </dxf>
    <dxf>
      <fill>
        <patternFill patternType="solid">
          <fgColor theme="1"/>
          <bgColor theme="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tlehmen\Downloads\sf-DESE-Basic-Formula-Projection-Tool-Charter%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aimer"/>
      <sheetName val="Data Entry-Calculation Page"/>
      <sheetName val="DVM"/>
      <sheetName val="Local Effort 2007"/>
      <sheetName val="Local Effort 2010"/>
      <sheetName val="Local Effort 2011"/>
      <sheetName val="Local Effort 2012 "/>
      <sheetName val="Local Effort 2013"/>
      <sheetName val="Local Effort 2014"/>
      <sheetName val="Local Effort 2015"/>
      <sheetName val="Local Effort 2016"/>
      <sheetName val="Local Effort 2017"/>
      <sheetName val="2004-2005 Revenue"/>
      <sheetName val="2005-2006 Revenue"/>
      <sheetName val="2006 WADA"/>
      <sheetName val="CEP"/>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vmlDrawing" Target="../drawings/vmlDrawing3.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P23"/>
  <sheetViews>
    <sheetView view="pageLayout" workbookViewId="0" topLeftCell="A1">
      <selection activeCell="G16" sqref="G16"/>
    </sheetView>
  </sheetViews>
  <sheetFormatPr defaultColWidth="9.140625" defaultRowHeight="12.75"/>
  <cols>
    <col min="5" max="5" width="11.421875" style="0" customWidth="1"/>
    <col min="7" max="7" width="9.140625" style="0" customWidth="1"/>
  </cols>
  <sheetData>
    <row r="1" ht="13.5" thickBot="1"/>
    <row r="2" spans="1:16" ht="21" thickBot="1">
      <c r="A2" s="190" t="s">
        <v>94</v>
      </c>
      <c r="B2" s="191"/>
      <c r="C2" s="191"/>
      <c r="D2" s="191"/>
      <c r="E2" s="191"/>
      <c r="F2" s="191"/>
      <c r="G2" s="191"/>
      <c r="H2" s="191"/>
      <c r="I2" s="191"/>
      <c r="J2" s="191"/>
      <c r="K2" s="191"/>
      <c r="L2" s="191"/>
      <c r="M2" s="191"/>
      <c r="N2" s="191"/>
      <c r="O2" s="191"/>
      <c r="P2" s="192"/>
    </row>
    <row r="3" spans="1:16" ht="12.75" customHeight="1" thickBot="1">
      <c r="A3" s="90"/>
      <c r="B3" s="91"/>
      <c r="C3" s="91"/>
      <c r="D3" s="91"/>
      <c r="E3" s="91"/>
      <c r="F3" s="91"/>
      <c r="G3" s="91"/>
      <c r="H3" s="91"/>
      <c r="I3" s="91"/>
      <c r="J3" s="91"/>
      <c r="K3" s="91"/>
      <c r="L3" s="91"/>
      <c r="M3" s="91"/>
      <c r="N3" s="91"/>
      <c r="O3" s="91"/>
      <c r="P3" s="92"/>
    </row>
    <row r="4" spans="1:16" ht="15" thickBot="1">
      <c r="A4" s="193" t="s">
        <v>161</v>
      </c>
      <c r="B4" s="194"/>
      <c r="C4" s="194"/>
      <c r="D4" s="194"/>
      <c r="E4" s="194"/>
      <c r="F4" s="194"/>
      <c r="G4" s="194"/>
      <c r="H4" s="194"/>
      <c r="I4" s="194"/>
      <c r="J4" s="194"/>
      <c r="K4" s="194"/>
      <c r="L4" s="194"/>
      <c r="M4" s="194"/>
      <c r="N4" s="194"/>
      <c r="O4" s="194"/>
      <c r="P4" s="195"/>
    </row>
    <row r="5" spans="1:16" s="96" customFormat="1" ht="13.5" customHeight="1">
      <c r="A5" s="93"/>
      <c r="B5" s="94"/>
      <c r="C5" s="94"/>
      <c r="D5" s="94"/>
      <c r="E5" s="94"/>
      <c r="F5" s="94"/>
      <c r="G5" s="94"/>
      <c r="H5" s="94"/>
      <c r="I5" s="94"/>
      <c r="J5" s="94"/>
      <c r="K5" s="94"/>
      <c r="L5" s="94"/>
      <c r="M5" s="94"/>
      <c r="N5" s="94"/>
      <c r="O5" s="94"/>
      <c r="P5" s="95"/>
    </row>
    <row r="6" spans="1:16" ht="13.5">
      <c r="A6" s="97" t="s">
        <v>95</v>
      </c>
      <c r="B6" s="98"/>
      <c r="C6" s="3"/>
      <c r="D6" s="3"/>
      <c r="E6" s="3"/>
      <c r="F6" s="3"/>
      <c r="G6" s="3"/>
      <c r="H6" s="3"/>
      <c r="I6" s="3"/>
      <c r="J6" s="3"/>
      <c r="K6" s="3"/>
      <c r="L6" s="3"/>
      <c r="M6" s="3"/>
      <c r="N6" s="3"/>
      <c r="O6" s="3"/>
      <c r="P6" s="99"/>
    </row>
    <row r="7" spans="1:16" ht="13.5">
      <c r="A7" s="97"/>
      <c r="B7" s="98"/>
      <c r="C7" s="3"/>
      <c r="D7" s="3"/>
      <c r="E7" s="3"/>
      <c r="F7" s="3"/>
      <c r="G7" s="3"/>
      <c r="H7" s="3"/>
      <c r="I7" s="3"/>
      <c r="J7" s="3"/>
      <c r="K7" s="3"/>
      <c r="L7" s="3"/>
      <c r="M7" s="3"/>
      <c r="N7" s="3"/>
      <c r="O7" s="3"/>
      <c r="P7" s="99"/>
    </row>
    <row r="8" spans="1:16" ht="13.5">
      <c r="A8" s="97" t="s">
        <v>151</v>
      </c>
      <c r="B8" s="3"/>
      <c r="C8" s="3"/>
      <c r="D8" s="3"/>
      <c r="E8" s="3"/>
      <c r="F8" s="3"/>
      <c r="G8" s="3"/>
      <c r="H8" s="3"/>
      <c r="I8" s="3"/>
      <c r="J8" s="3"/>
      <c r="K8" s="3"/>
      <c r="L8" s="3"/>
      <c r="M8" s="3"/>
      <c r="N8" s="3"/>
      <c r="O8" s="3"/>
      <c r="P8" s="99"/>
    </row>
    <row r="9" spans="1:16" ht="13.5">
      <c r="A9" s="100"/>
      <c r="B9" s="101"/>
      <c r="C9" s="3"/>
      <c r="D9" s="3"/>
      <c r="E9" s="3"/>
      <c r="F9" s="3"/>
      <c r="G9" s="3"/>
      <c r="H9" s="3"/>
      <c r="I9" s="3"/>
      <c r="J9" s="3"/>
      <c r="K9" s="3"/>
      <c r="L9" s="3"/>
      <c r="M9" s="3"/>
      <c r="N9" s="3"/>
      <c r="O9" s="3"/>
      <c r="P9" s="99"/>
    </row>
    <row r="10" spans="1:16" ht="13.5">
      <c r="A10" s="102" t="s">
        <v>96</v>
      </c>
      <c r="B10" s="101" t="s">
        <v>97</v>
      </c>
      <c r="C10" s="3"/>
      <c r="D10" s="3"/>
      <c r="E10" s="3"/>
      <c r="F10" s="3"/>
      <c r="G10" s="3"/>
      <c r="H10" s="3"/>
      <c r="I10" s="3"/>
      <c r="J10" s="3"/>
      <c r="K10" s="3"/>
      <c r="L10" s="3"/>
      <c r="M10" s="3"/>
      <c r="N10" s="3"/>
      <c r="O10" s="3"/>
      <c r="P10" s="99"/>
    </row>
    <row r="11" spans="1:16" ht="13.5">
      <c r="A11" s="103"/>
      <c r="B11" s="98"/>
      <c r="C11" s="105"/>
      <c r="D11" s="104"/>
      <c r="E11" s="3"/>
      <c r="F11" s="3"/>
      <c r="G11" s="3"/>
      <c r="H11" s="3"/>
      <c r="I11" s="3"/>
      <c r="J11" s="3"/>
      <c r="K11" s="3"/>
      <c r="L11" s="3"/>
      <c r="M11" s="3"/>
      <c r="N11" s="3"/>
      <c r="O11" s="3"/>
      <c r="P11" s="99"/>
    </row>
    <row r="12" spans="1:16" ht="13.5">
      <c r="A12" s="106" t="s">
        <v>98</v>
      </c>
      <c r="B12" s="101" t="s">
        <v>100</v>
      </c>
      <c r="C12" s="3"/>
      <c r="D12" s="3"/>
      <c r="E12" s="3"/>
      <c r="F12" s="3"/>
      <c r="G12" s="3"/>
      <c r="H12" s="3"/>
      <c r="I12" s="3"/>
      <c r="J12" s="3"/>
      <c r="K12" s="3"/>
      <c r="L12" s="3"/>
      <c r="M12" s="3"/>
      <c r="N12" s="3"/>
      <c r="O12" s="3"/>
      <c r="P12" s="99"/>
    </row>
    <row r="13" spans="1:16" ht="13.5">
      <c r="A13" s="103"/>
      <c r="B13" s="101" t="s">
        <v>101</v>
      </c>
      <c r="C13" s="3"/>
      <c r="D13" s="3"/>
      <c r="E13" s="3"/>
      <c r="F13" s="3"/>
      <c r="G13" s="3"/>
      <c r="H13" s="3"/>
      <c r="I13" s="3"/>
      <c r="J13" s="3"/>
      <c r="K13" s="3"/>
      <c r="L13" s="3"/>
      <c r="M13" s="3"/>
      <c r="N13" s="3"/>
      <c r="O13" s="3"/>
      <c r="P13" s="99"/>
    </row>
    <row r="14" spans="1:16" ht="13.5">
      <c r="A14" s="103"/>
      <c r="B14" s="101" t="s">
        <v>102</v>
      </c>
      <c r="C14" s="3"/>
      <c r="D14" s="3"/>
      <c r="E14" s="3"/>
      <c r="F14" s="3"/>
      <c r="G14" s="3"/>
      <c r="H14" s="3"/>
      <c r="I14" s="3"/>
      <c r="J14" s="3"/>
      <c r="K14" s="3"/>
      <c r="L14" s="3"/>
      <c r="M14" s="3"/>
      <c r="N14" s="3"/>
      <c r="O14" s="3"/>
      <c r="P14" s="99"/>
    </row>
    <row r="15" spans="1:16" ht="13.5">
      <c r="A15" s="103"/>
      <c r="B15" s="101" t="s">
        <v>103</v>
      </c>
      <c r="C15" s="3"/>
      <c r="D15" s="3"/>
      <c r="E15" s="3"/>
      <c r="F15" s="3"/>
      <c r="G15" s="3"/>
      <c r="H15" s="3"/>
      <c r="I15" s="3"/>
      <c r="J15" s="3"/>
      <c r="K15" s="3"/>
      <c r="L15" s="3"/>
      <c r="M15" s="3"/>
      <c r="N15" s="3"/>
      <c r="O15" s="3"/>
      <c r="P15" s="99"/>
    </row>
    <row r="16" spans="1:16" ht="14.25" thickBot="1">
      <c r="A16" s="107"/>
      <c r="B16" s="108"/>
      <c r="C16" s="109"/>
      <c r="D16" s="109"/>
      <c r="E16" s="109"/>
      <c r="F16" s="109"/>
      <c r="G16" s="109"/>
      <c r="H16" s="109"/>
      <c r="I16" s="109"/>
      <c r="J16" s="109"/>
      <c r="K16" s="109"/>
      <c r="L16" s="109"/>
      <c r="M16" s="109"/>
      <c r="N16" s="109"/>
      <c r="O16" s="109"/>
      <c r="P16" s="110"/>
    </row>
    <row r="17" spans="1:2" ht="13.5">
      <c r="A17" s="111"/>
      <c r="B17" s="111"/>
    </row>
    <row r="18" spans="1:2" ht="14.25">
      <c r="A18" s="112" t="s">
        <v>104</v>
      </c>
      <c r="B18" s="111"/>
    </row>
    <row r="19" spans="1:2" ht="14.25">
      <c r="A19" s="113" t="s">
        <v>105</v>
      </c>
      <c r="B19" s="111"/>
    </row>
    <row r="20" spans="1:2" ht="13.5">
      <c r="A20" s="111"/>
      <c r="B20" s="111"/>
    </row>
    <row r="21" spans="1:2" ht="13.5">
      <c r="A21" s="111"/>
      <c r="B21" s="111"/>
    </row>
    <row r="22" ht="13.5">
      <c r="A22" s="111"/>
    </row>
    <row r="23" ht="13.5">
      <c r="A23" s="111"/>
    </row>
  </sheetData>
  <sheetProtection password="CC05" sheet="1"/>
  <mergeCells count="2">
    <mergeCell ref="A2:P2"/>
    <mergeCell ref="A4:P4"/>
  </mergeCells>
  <printOptions/>
  <pageMargins left="0.7" right="0.7" top="1.8847916666666666" bottom="0.75" header="0.3" footer="0.3"/>
  <pageSetup fitToHeight="0" fitToWidth="1" horizontalDpi="600" verticalDpi="600" orientation="landscape" scale="86" r:id="rId2"/>
  <headerFooter>
    <oddHeader>&amp;L&amp;G&amp;C&amp;"-,Bold"&amp;14Divisonn of Financial and Administrative Services
School Finance
Basic Formula Projection Tool</oddHead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AD42"/>
  <sheetViews>
    <sheetView view="pageLayout" workbookViewId="0" topLeftCell="A1">
      <selection activeCell="F3" sqref="F3"/>
    </sheetView>
  </sheetViews>
  <sheetFormatPr defaultColWidth="9.140625" defaultRowHeight="12.75"/>
  <cols>
    <col min="1" max="1" width="6.140625" style="0" customWidth="1"/>
    <col min="2" max="2" width="52.140625" style="0" customWidth="1"/>
    <col min="3" max="8" width="16.7109375" style="0" customWidth="1"/>
    <col min="9" max="9" width="16.28125" style="120" customWidth="1"/>
    <col min="10" max="10" width="33.140625" style="0" customWidth="1"/>
    <col min="13" max="13" width="7.57421875" style="120" hidden="1" customWidth="1"/>
    <col min="14" max="14" width="33.140625" style="0" hidden="1" customWidth="1"/>
    <col min="15" max="15" width="0" style="127" hidden="1" customWidth="1"/>
    <col min="17" max="17" width="12.421875" style="121" bestFit="1" customWidth="1"/>
    <col min="18" max="25" width="10.00390625" style="0" customWidth="1"/>
    <col min="26" max="26" width="9.140625" style="123" customWidth="1"/>
  </cols>
  <sheetData>
    <row r="1" spans="1:27" ht="20.25">
      <c r="A1" s="196" t="s">
        <v>106</v>
      </c>
      <c r="B1" s="197"/>
      <c r="C1" s="197"/>
      <c r="D1" s="197"/>
      <c r="E1" s="197"/>
      <c r="F1" s="197"/>
      <c r="G1" s="197"/>
      <c r="H1" s="197"/>
      <c r="I1" s="198"/>
      <c r="J1" s="114"/>
      <c r="L1" s="115"/>
      <c r="M1"/>
      <c r="N1" s="116"/>
      <c r="O1" s="114"/>
      <c r="P1" s="114"/>
      <c r="Q1" s="114"/>
      <c r="R1" s="114"/>
      <c r="S1" s="114"/>
      <c r="T1" s="114"/>
      <c r="U1" s="114"/>
      <c r="V1" s="114"/>
      <c r="W1" s="117"/>
      <c r="X1" s="114"/>
      <c r="Y1" s="114"/>
      <c r="Z1" s="117"/>
      <c r="AA1" s="117"/>
    </row>
    <row r="2" spans="1:30" ht="15.75">
      <c r="A2" s="199" t="s">
        <v>107</v>
      </c>
      <c r="B2" s="200"/>
      <c r="C2" s="200"/>
      <c r="D2" s="200"/>
      <c r="E2" s="200"/>
      <c r="F2" s="200"/>
      <c r="G2" s="200"/>
      <c r="H2" s="118"/>
      <c r="I2" s="119"/>
      <c r="M2" s="120">
        <v>1092</v>
      </c>
      <c r="N2" t="s">
        <v>108</v>
      </c>
      <c r="O2" s="115" t="s">
        <v>109</v>
      </c>
      <c r="R2" s="122"/>
      <c r="S2" s="122"/>
      <c r="T2" s="122"/>
      <c r="U2" s="122"/>
      <c r="V2" s="122"/>
      <c r="W2" s="122"/>
      <c r="X2" s="122"/>
      <c r="Y2" s="122"/>
      <c r="AA2" s="122"/>
      <c r="AB2" s="122"/>
      <c r="AC2" s="122"/>
      <c r="AD2" s="122"/>
    </row>
    <row r="3" spans="1:29" ht="15.75">
      <c r="A3" s="124"/>
      <c r="B3" s="125" t="s">
        <v>110</v>
      </c>
      <c r="C3" s="201"/>
      <c r="D3" s="201"/>
      <c r="E3" s="104"/>
      <c r="F3" s="3"/>
      <c r="G3" s="3"/>
      <c r="H3" s="125" t="s">
        <v>111</v>
      </c>
      <c r="I3" s="126"/>
      <c r="L3" s="120"/>
      <c r="M3"/>
      <c r="N3" s="127"/>
      <c r="O3"/>
      <c r="P3" s="121"/>
      <c r="Q3" s="122"/>
      <c r="R3" s="122"/>
      <c r="S3" s="122"/>
      <c r="T3" s="122"/>
      <c r="U3" s="122"/>
      <c r="V3" s="122"/>
      <c r="W3" s="122"/>
      <c r="X3" s="122"/>
      <c r="Y3" s="123"/>
      <c r="Z3" s="122"/>
      <c r="AA3" s="122"/>
      <c r="AB3" s="122"/>
      <c r="AC3" s="122"/>
    </row>
    <row r="4" spans="1:30" ht="15.75">
      <c r="A4" s="124"/>
      <c r="B4" s="125" t="s">
        <v>112</v>
      </c>
      <c r="C4" s="202"/>
      <c r="D4" s="202"/>
      <c r="E4" s="125"/>
      <c r="F4" s="128"/>
      <c r="G4" s="125"/>
      <c r="H4" s="129"/>
      <c r="I4" s="119"/>
      <c r="K4" s="130"/>
      <c r="O4" s="115"/>
      <c r="R4" s="122"/>
      <c r="S4" s="122"/>
      <c r="T4" s="122"/>
      <c r="U4" s="122"/>
      <c r="V4" s="122"/>
      <c r="W4" s="122"/>
      <c r="X4" s="122"/>
      <c r="Y4" s="122"/>
      <c r="AA4" s="122"/>
      <c r="AB4" s="122"/>
      <c r="AC4" s="122"/>
      <c r="AD4" s="122"/>
    </row>
    <row r="5" spans="1:30" ht="15.75">
      <c r="A5" s="203" t="s">
        <v>113</v>
      </c>
      <c r="B5" s="204"/>
      <c r="C5" s="204"/>
      <c r="D5" s="204"/>
      <c r="E5" s="204"/>
      <c r="F5" s="204"/>
      <c r="G5" s="204"/>
      <c r="H5" s="131"/>
      <c r="I5" s="119"/>
      <c r="M5" s="120">
        <v>3032</v>
      </c>
      <c r="N5" t="s">
        <v>114</v>
      </c>
      <c r="O5" s="115" t="s">
        <v>109</v>
      </c>
      <c r="R5" s="122"/>
      <c r="S5" s="122"/>
      <c r="T5" s="122"/>
      <c r="U5" s="122"/>
      <c r="V5" s="122"/>
      <c r="W5" s="122"/>
      <c r="X5" s="122"/>
      <c r="Y5" s="122"/>
      <c r="AA5" s="122"/>
      <c r="AB5" s="122"/>
      <c r="AC5" s="122"/>
      <c r="AD5" s="122"/>
    </row>
    <row r="6" spans="1:27" ht="15.75">
      <c r="A6" s="132"/>
      <c r="B6" s="133" t="s">
        <v>115</v>
      </c>
      <c r="C6" s="134" t="s">
        <v>116</v>
      </c>
      <c r="D6" s="135" t="s">
        <v>117</v>
      </c>
      <c r="E6" s="134" t="s">
        <v>118</v>
      </c>
      <c r="F6" s="135" t="s">
        <v>119</v>
      </c>
      <c r="G6" s="135" t="s">
        <v>152</v>
      </c>
      <c r="H6" s="135" t="s">
        <v>153</v>
      </c>
      <c r="I6" s="135" t="s">
        <v>154</v>
      </c>
      <c r="L6" s="115"/>
      <c r="M6"/>
      <c r="N6" s="121"/>
      <c r="O6" s="122"/>
      <c r="P6" s="122"/>
      <c r="Q6" s="122"/>
      <c r="R6" s="122"/>
      <c r="S6" s="122"/>
      <c r="T6" s="122"/>
      <c r="U6" s="122"/>
      <c r="V6" s="122"/>
      <c r="W6" s="123"/>
      <c r="X6" s="122"/>
      <c r="Y6" s="122"/>
      <c r="Z6" s="122"/>
      <c r="AA6" s="122"/>
    </row>
    <row r="7" spans="1:27" ht="15.75">
      <c r="A7" s="136">
        <v>1</v>
      </c>
      <c r="B7" s="137" t="s">
        <v>120</v>
      </c>
      <c r="C7" s="138">
        <v>0</v>
      </c>
      <c r="D7" s="138">
        <v>0</v>
      </c>
      <c r="E7" s="138">
        <v>0</v>
      </c>
      <c r="F7" s="138">
        <v>0</v>
      </c>
      <c r="G7" s="138">
        <v>0</v>
      </c>
      <c r="H7" s="138">
        <v>0</v>
      </c>
      <c r="I7" s="138">
        <v>0</v>
      </c>
      <c r="L7" s="115"/>
      <c r="M7"/>
      <c r="N7" s="121"/>
      <c r="O7" s="122"/>
      <c r="P7" s="122"/>
      <c r="Q7" s="122"/>
      <c r="R7" s="122"/>
      <c r="S7" s="122"/>
      <c r="T7" s="122"/>
      <c r="U7" s="122"/>
      <c r="V7" s="122"/>
      <c r="W7" s="123"/>
      <c r="X7" s="122"/>
      <c r="Y7" s="122"/>
      <c r="Z7" s="122"/>
      <c r="AA7" s="122"/>
    </row>
    <row r="8" spans="1:27" ht="15.75">
      <c r="A8" s="136"/>
      <c r="B8" s="137" t="s">
        <v>121</v>
      </c>
      <c r="C8" s="138">
        <v>0</v>
      </c>
      <c r="D8" s="138">
        <v>0</v>
      </c>
      <c r="E8" s="138">
        <v>0</v>
      </c>
      <c r="F8" s="138">
        <v>0</v>
      </c>
      <c r="G8" s="138">
        <v>0</v>
      </c>
      <c r="H8" s="138">
        <v>0</v>
      </c>
      <c r="I8" s="138">
        <v>0</v>
      </c>
      <c r="L8" s="115"/>
      <c r="M8"/>
      <c r="N8" s="121"/>
      <c r="O8" s="122"/>
      <c r="P8" s="122"/>
      <c r="Q8" s="122"/>
      <c r="R8" s="122"/>
      <c r="S8" s="122"/>
      <c r="T8" s="122"/>
      <c r="U8" s="122"/>
      <c r="V8" s="122"/>
      <c r="W8" s="123"/>
      <c r="X8" s="122"/>
      <c r="Y8" s="122"/>
      <c r="Z8" s="122"/>
      <c r="AA8" s="122"/>
    </row>
    <row r="9" spans="1:27" ht="15.75">
      <c r="A9" s="136">
        <v>2</v>
      </c>
      <c r="B9" s="137" t="s">
        <v>122</v>
      </c>
      <c r="C9" s="138">
        <v>0</v>
      </c>
      <c r="D9" s="138">
        <v>0</v>
      </c>
      <c r="E9" s="138">
        <v>0</v>
      </c>
      <c r="F9" s="138">
        <v>0</v>
      </c>
      <c r="G9" s="138">
        <v>0</v>
      </c>
      <c r="H9" s="138">
        <v>0</v>
      </c>
      <c r="I9" s="138">
        <v>0</v>
      </c>
      <c r="L9" s="115"/>
      <c r="M9"/>
      <c r="N9" s="121"/>
      <c r="O9" s="122"/>
      <c r="P9" s="122"/>
      <c r="Q9" s="122"/>
      <c r="R9" s="122"/>
      <c r="S9" s="122"/>
      <c r="T9" s="122"/>
      <c r="U9" s="122"/>
      <c r="V9" s="122"/>
      <c r="W9" s="123"/>
      <c r="X9" s="122"/>
      <c r="Y9" s="122"/>
      <c r="Z9" s="122"/>
      <c r="AA9" s="122"/>
    </row>
    <row r="10" spans="1:27" ht="15.75">
      <c r="A10" s="136">
        <v>7</v>
      </c>
      <c r="B10" s="137" t="s">
        <v>123</v>
      </c>
      <c r="C10" s="139">
        <v>0</v>
      </c>
      <c r="D10" s="139">
        <v>0</v>
      </c>
      <c r="E10" s="139">
        <v>0</v>
      </c>
      <c r="F10" s="139">
        <v>0</v>
      </c>
      <c r="G10" s="139">
        <v>0</v>
      </c>
      <c r="H10" s="139">
        <v>0</v>
      </c>
      <c r="I10" s="139">
        <v>0</v>
      </c>
      <c r="L10" s="115"/>
      <c r="M10"/>
      <c r="N10" s="121"/>
      <c r="O10" s="122"/>
      <c r="P10" s="122"/>
      <c r="Q10" s="122"/>
      <c r="R10" s="122"/>
      <c r="S10" s="122"/>
      <c r="T10" s="122"/>
      <c r="U10" s="122"/>
      <c r="V10" s="122"/>
      <c r="W10" s="123"/>
      <c r="X10" s="122"/>
      <c r="Y10" s="122"/>
      <c r="Z10" s="122"/>
      <c r="AA10" s="122"/>
    </row>
    <row r="11" spans="1:27" ht="15.75">
      <c r="A11" s="136">
        <v>8</v>
      </c>
      <c r="B11" s="137" t="s">
        <v>124</v>
      </c>
      <c r="C11" s="140">
        <v>0</v>
      </c>
      <c r="D11" s="140">
        <v>0</v>
      </c>
      <c r="E11" s="140">
        <v>0</v>
      </c>
      <c r="F11" s="140">
        <v>0</v>
      </c>
      <c r="G11" s="140">
        <v>0</v>
      </c>
      <c r="H11" s="140">
        <v>0</v>
      </c>
      <c r="I11" s="140">
        <v>0</v>
      </c>
      <c r="L11" s="115"/>
      <c r="M11"/>
      <c r="N11" s="121"/>
      <c r="O11" s="122"/>
      <c r="P11" s="122"/>
      <c r="Q11" s="122"/>
      <c r="R11" s="122"/>
      <c r="S11" s="122"/>
      <c r="T11" s="122"/>
      <c r="U11" s="122"/>
      <c r="V11" s="122"/>
      <c r="W11" s="123"/>
      <c r="X11" s="122"/>
      <c r="Y11" s="122"/>
      <c r="Z11" s="122"/>
      <c r="AA11" s="122"/>
    </row>
    <row r="12" spans="1:27" ht="15.75">
      <c r="A12" s="136">
        <v>9</v>
      </c>
      <c r="B12" s="137" t="s">
        <v>125</v>
      </c>
      <c r="C12" s="140">
        <v>0</v>
      </c>
      <c r="D12" s="140">
        <v>0</v>
      </c>
      <c r="E12" s="140">
        <v>0</v>
      </c>
      <c r="F12" s="140">
        <v>0</v>
      </c>
      <c r="G12" s="140">
        <v>0</v>
      </c>
      <c r="H12" s="140">
        <v>0</v>
      </c>
      <c r="I12" s="140">
        <v>0</v>
      </c>
      <c r="L12" s="115"/>
      <c r="M12"/>
      <c r="N12" s="121"/>
      <c r="O12" s="122"/>
      <c r="P12" s="122"/>
      <c r="Q12" s="122"/>
      <c r="R12" s="122"/>
      <c r="S12" s="122"/>
      <c r="T12" s="122"/>
      <c r="U12" s="122"/>
      <c r="V12" s="122"/>
      <c r="W12" s="123"/>
      <c r="X12" s="122"/>
      <c r="Y12" s="122"/>
      <c r="Z12" s="122"/>
      <c r="AA12" s="122"/>
    </row>
    <row r="13" spans="1:27" ht="15.75">
      <c r="A13" s="136">
        <v>14</v>
      </c>
      <c r="B13" s="141" t="s">
        <v>126</v>
      </c>
      <c r="C13" s="138">
        <v>0</v>
      </c>
      <c r="D13" s="138">
        <v>0</v>
      </c>
      <c r="E13" s="138">
        <v>0</v>
      </c>
      <c r="F13" s="138">
        <v>0</v>
      </c>
      <c r="G13" s="138">
        <v>0</v>
      </c>
      <c r="H13" s="138">
        <v>0</v>
      </c>
      <c r="I13" s="138">
        <v>0</v>
      </c>
      <c r="L13" s="115"/>
      <c r="M13"/>
      <c r="N13" s="121"/>
      <c r="O13" s="122"/>
      <c r="P13" s="122"/>
      <c r="Q13" s="122"/>
      <c r="R13" s="122"/>
      <c r="S13" s="122"/>
      <c r="T13" s="122"/>
      <c r="U13" s="122"/>
      <c r="V13" s="122"/>
      <c r="W13" s="123"/>
      <c r="X13" s="122"/>
      <c r="Y13" s="122"/>
      <c r="Z13" s="122"/>
      <c r="AA13" s="122"/>
    </row>
    <row r="14" spans="1:27" ht="15.75">
      <c r="A14" s="136">
        <v>15</v>
      </c>
      <c r="B14" s="141" t="s">
        <v>127</v>
      </c>
      <c r="C14" s="138">
        <v>0</v>
      </c>
      <c r="D14" s="138">
        <v>0</v>
      </c>
      <c r="E14" s="138">
        <v>0</v>
      </c>
      <c r="F14" s="138">
        <v>0</v>
      </c>
      <c r="G14" s="138">
        <v>0</v>
      </c>
      <c r="H14" s="138">
        <v>0</v>
      </c>
      <c r="I14" s="138">
        <v>0</v>
      </c>
      <c r="L14" s="127"/>
      <c r="M14"/>
      <c r="N14" s="121"/>
      <c r="O14" s="122"/>
      <c r="P14" s="122"/>
      <c r="Q14" s="122"/>
      <c r="R14" s="122"/>
      <c r="S14" s="122"/>
      <c r="T14" s="122"/>
      <c r="U14" s="122"/>
      <c r="V14" s="122"/>
      <c r="W14" s="123"/>
      <c r="X14" s="122"/>
      <c r="Y14" s="122"/>
      <c r="Z14" s="122"/>
      <c r="AA14" s="122"/>
    </row>
    <row r="15" spans="1:27" ht="15.75">
      <c r="A15" s="136">
        <v>16</v>
      </c>
      <c r="B15" s="141" t="s">
        <v>128</v>
      </c>
      <c r="C15" s="138">
        <v>0</v>
      </c>
      <c r="D15" s="138">
        <v>0</v>
      </c>
      <c r="E15" s="138">
        <v>0</v>
      </c>
      <c r="F15" s="138">
        <v>0</v>
      </c>
      <c r="G15" s="138">
        <v>0</v>
      </c>
      <c r="H15" s="138">
        <v>0</v>
      </c>
      <c r="I15" s="138">
        <v>0</v>
      </c>
      <c r="L15" s="115"/>
      <c r="M15"/>
      <c r="N15" s="121"/>
      <c r="O15" s="122"/>
      <c r="P15" s="122"/>
      <c r="Q15" s="122"/>
      <c r="R15" s="122"/>
      <c r="S15" s="122"/>
      <c r="T15" s="122"/>
      <c r="U15" s="122"/>
      <c r="V15" s="122"/>
      <c r="W15" s="123"/>
      <c r="X15" s="122"/>
      <c r="Y15" s="122"/>
      <c r="Z15" s="122"/>
      <c r="AA15" s="122"/>
    </row>
    <row r="16" spans="1:27" ht="15.75">
      <c r="A16" s="136">
        <v>17</v>
      </c>
      <c r="B16" s="141" t="s">
        <v>129</v>
      </c>
      <c r="C16" s="138">
        <v>0</v>
      </c>
      <c r="D16" s="138">
        <v>0</v>
      </c>
      <c r="E16" s="138">
        <v>168014.69</v>
      </c>
      <c r="F16" s="138">
        <v>181470.59</v>
      </c>
      <c r="G16" s="138">
        <v>0</v>
      </c>
      <c r="H16" s="138">
        <v>0</v>
      </c>
      <c r="I16" s="138">
        <v>0</v>
      </c>
      <c r="L16" s="115"/>
      <c r="M16"/>
      <c r="N16" s="121"/>
      <c r="O16" s="122"/>
      <c r="P16" s="122"/>
      <c r="Q16" s="122"/>
      <c r="R16" s="122"/>
      <c r="S16" s="122"/>
      <c r="T16" s="122"/>
      <c r="U16" s="122"/>
      <c r="V16" s="122"/>
      <c r="W16" s="123"/>
      <c r="X16" s="122"/>
      <c r="Y16" s="122"/>
      <c r="Z16" s="122"/>
      <c r="AA16" s="122"/>
    </row>
    <row r="17" spans="1:26" ht="20.25">
      <c r="A17" s="205" t="s">
        <v>130</v>
      </c>
      <c r="B17" s="206"/>
      <c r="C17" s="206"/>
      <c r="D17" s="206"/>
      <c r="E17" s="206"/>
      <c r="F17" s="206"/>
      <c r="G17" s="206"/>
      <c r="H17" s="206"/>
      <c r="I17" s="207"/>
      <c r="K17" s="115"/>
      <c r="M17" s="121"/>
      <c r="N17" s="122"/>
      <c r="O17" s="122"/>
      <c r="P17" s="122"/>
      <c r="Q17" s="122"/>
      <c r="R17" s="122"/>
      <c r="S17" s="122"/>
      <c r="T17" s="122"/>
      <c r="U17" s="122"/>
      <c r="V17" s="123"/>
      <c r="W17" s="122"/>
      <c r="X17" s="122"/>
      <c r="Y17" s="122"/>
      <c r="Z17" s="122"/>
    </row>
    <row r="18" spans="1:26" ht="15.75">
      <c r="A18" s="142" t="s">
        <v>131</v>
      </c>
      <c r="B18" s="143"/>
      <c r="C18" s="134" t="s">
        <v>116</v>
      </c>
      <c r="D18" s="135" t="s">
        <v>117</v>
      </c>
      <c r="E18" s="134" t="s">
        <v>118</v>
      </c>
      <c r="F18" s="135" t="s">
        <v>119</v>
      </c>
      <c r="G18" s="135" t="s">
        <v>152</v>
      </c>
      <c r="H18" s="135" t="s">
        <v>153</v>
      </c>
      <c r="I18" s="135" t="s">
        <v>154</v>
      </c>
      <c r="K18" s="122"/>
      <c r="L18" s="122"/>
      <c r="M18" s="122"/>
      <c r="N18" s="122"/>
      <c r="O18" s="122"/>
      <c r="P18" s="122"/>
      <c r="Q18" s="122"/>
      <c r="R18" s="123"/>
      <c r="S18" s="122"/>
      <c r="T18" s="122"/>
      <c r="U18" s="122"/>
      <c r="V18" s="122"/>
      <c r="Z18"/>
    </row>
    <row r="19" spans="1:26" ht="15.75">
      <c r="A19" s="142" t="s">
        <v>96</v>
      </c>
      <c r="B19" s="137" t="s">
        <v>132</v>
      </c>
      <c r="C19" s="144">
        <f aca="true" t="shared" si="0" ref="C19:I19">C7</f>
        <v>0</v>
      </c>
      <c r="D19" s="144">
        <f t="shared" si="0"/>
        <v>0</v>
      </c>
      <c r="E19" s="144">
        <f t="shared" si="0"/>
        <v>0</v>
      </c>
      <c r="F19" s="144">
        <f t="shared" si="0"/>
        <v>0</v>
      </c>
      <c r="G19" s="144">
        <f t="shared" si="0"/>
        <v>0</v>
      </c>
      <c r="H19" s="144">
        <f t="shared" si="0"/>
        <v>0</v>
      </c>
      <c r="I19" s="144">
        <f t="shared" si="0"/>
        <v>0</v>
      </c>
      <c r="K19" s="115"/>
      <c r="M19" s="121"/>
      <c r="N19" s="122"/>
      <c r="O19" s="122"/>
      <c r="P19" s="122"/>
      <c r="Q19" s="122"/>
      <c r="R19" s="122"/>
      <c r="S19" s="122"/>
      <c r="T19" s="122"/>
      <c r="U19" s="122"/>
      <c r="V19" s="123"/>
      <c r="W19" s="122"/>
      <c r="X19" s="122"/>
      <c r="Y19" s="122"/>
      <c r="Z19" s="122"/>
    </row>
    <row r="20" spans="1:26" ht="15.75">
      <c r="A20" s="142" t="s">
        <v>98</v>
      </c>
      <c r="B20" s="137" t="s">
        <v>122</v>
      </c>
      <c r="C20" s="144">
        <f>C9</f>
        <v>0</v>
      </c>
      <c r="D20" s="144">
        <f aca="true" t="shared" si="1" ref="D20:I20">D9</f>
        <v>0</v>
      </c>
      <c r="E20" s="144">
        <f t="shared" si="1"/>
        <v>0</v>
      </c>
      <c r="F20" s="144">
        <f t="shared" si="1"/>
        <v>0</v>
      </c>
      <c r="G20" s="144">
        <f t="shared" si="1"/>
        <v>0</v>
      </c>
      <c r="H20" s="144">
        <f t="shared" si="1"/>
        <v>0</v>
      </c>
      <c r="I20" s="144">
        <f t="shared" si="1"/>
        <v>0</v>
      </c>
      <c r="K20" s="115"/>
      <c r="M20" s="121"/>
      <c r="N20" s="122"/>
      <c r="O20" s="122"/>
      <c r="P20" s="122"/>
      <c r="Q20" s="122"/>
      <c r="R20" s="122"/>
      <c r="S20" s="122"/>
      <c r="T20" s="122"/>
      <c r="U20" s="122"/>
      <c r="V20" s="123"/>
      <c r="W20" s="122"/>
      <c r="X20" s="122"/>
      <c r="Y20" s="122"/>
      <c r="Z20" s="122"/>
    </row>
    <row r="21" spans="1:26" ht="15.75">
      <c r="A21" s="142" t="s">
        <v>99</v>
      </c>
      <c r="B21" s="145" t="s">
        <v>133</v>
      </c>
      <c r="C21" s="144">
        <f aca="true" t="shared" si="2" ref="C21:I21">C19+C20</f>
        <v>0</v>
      </c>
      <c r="D21" s="144">
        <f t="shared" si="2"/>
        <v>0</v>
      </c>
      <c r="E21" s="144">
        <f t="shared" si="2"/>
        <v>0</v>
      </c>
      <c r="F21" s="144">
        <f t="shared" si="2"/>
        <v>0</v>
      </c>
      <c r="G21" s="144">
        <f t="shared" si="2"/>
        <v>0</v>
      </c>
      <c r="H21" s="144">
        <f t="shared" si="2"/>
        <v>0</v>
      </c>
      <c r="I21" s="144">
        <f t="shared" si="2"/>
        <v>0</v>
      </c>
      <c r="K21" s="115"/>
      <c r="M21" s="121"/>
      <c r="N21" s="122"/>
      <c r="O21" s="122"/>
      <c r="P21" s="122"/>
      <c r="Q21" s="122"/>
      <c r="R21" s="122"/>
      <c r="S21" s="122"/>
      <c r="T21" s="122"/>
      <c r="U21" s="122"/>
      <c r="V21" s="123"/>
      <c r="W21" s="122"/>
      <c r="X21" s="122"/>
      <c r="Y21" s="122"/>
      <c r="Z21" s="122"/>
    </row>
    <row r="22" spans="1:26" ht="15.75">
      <c r="A22" s="142"/>
      <c r="B22" s="145" t="s">
        <v>134</v>
      </c>
      <c r="C22" s="189">
        <f>_xlfn.IFERROR(VLOOKUP(District_Code,'[1]CEP'!#REF!,6,FALSE),0)</f>
        <v>0</v>
      </c>
      <c r="D22" s="189">
        <f>_xlfn.IFERROR(VLOOKUP(District_Code,'[1]CEP'!#REF!,7,FALSE),0)</f>
        <v>0</v>
      </c>
      <c r="E22" s="189">
        <f>_xlfn.IFERROR(VLOOKUP(District_Code,'[1]CEP'!#REF!,9,FALSE),0)</f>
        <v>0</v>
      </c>
      <c r="F22" s="189">
        <f>_xlfn.IFERROR(VLOOKUP(District_Code,'[1]CEP'!#REF!,10,FALSE),0)</f>
        <v>0</v>
      </c>
      <c r="G22" s="189">
        <f>_xlfn.IFERROR(VLOOKUP(District_Code,'[1]CEP'!#REF!,11,FALSE),0)</f>
        <v>0</v>
      </c>
      <c r="H22" s="189">
        <f>_xlfn.IFERROR(VLOOKUP(District_Code,'[1]CEP'!#REF!,11,FALSE),0)</f>
        <v>0</v>
      </c>
      <c r="I22" s="189">
        <f>_xlfn.IFERROR(VLOOKUP(District_Code,'[1]CEP'!#REF!,11,FALSE),0)</f>
        <v>0</v>
      </c>
      <c r="K22" s="115"/>
      <c r="M22" s="121"/>
      <c r="N22" s="122"/>
      <c r="O22" s="122"/>
      <c r="P22" s="122"/>
      <c r="Q22" s="122"/>
      <c r="R22" s="122"/>
      <c r="S22" s="122"/>
      <c r="T22" s="122"/>
      <c r="U22" s="122"/>
      <c r="V22" s="123"/>
      <c r="W22" s="122"/>
      <c r="X22" s="122"/>
      <c r="Y22" s="122"/>
      <c r="Z22" s="122"/>
    </row>
    <row r="23" spans="1:26" ht="15.75">
      <c r="A23" s="142" t="s">
        <v>135</v>
      </c>
      <c r="B23" s="145" t="s">
        <v>136</v>
      </c>
      <c r="C23" s="147">
        <v>0.2945</v>
      </c>
      <c r="D23" s="147">
        <v>0.2945</v>
      </c>
      <c r="E23" s="147">
        <v>0.3095</v>
      </c>
      <c r="F23" s="147">
        <v>0.3095</v>
      </c>
      <c r="G23" s="163">
        <v>0.3095</v>
      </c>
      <c r="H23" s="163">
        <v>0.3095</v>
      </c>
      <c r="I23" s="163">
        <v>0.3095</v>
      </c>
      <c r="K23" s="127"/>
      <c r="M23" s="121"/>
      <c r="N23" s="122"/>
      <c r="O23" s="122"/>
      <c r="P23" s="122"/>
      <c r="Q23" s="122"/>
      <c r="R23" s="122"/>
      <c r="S23" s="122"/>
      <c r="T23" s="122"/>
      <c r="U23" s="122"/>
      <c r="V23" s="123"/>
      <c r="W23" s="122"/>
      <c r="X23" s="122"/>
      <c r="Y23" s="122"/>
      <c r="Z23" s="122"/>
    </row>
    <row r="24" spans="1:26" ht="15">
      <c r="A24" s="142"/>
      <c r="B24" s="145" t="s">
        <v>137</v>
      </c>
      <c r="C24" s="148">
        <f>IF(C22&gt;0,C22*C19,C10)</f>
        <v>0</v>
      </c>
      <c r="D24" s="148">
        <f aca="true" t="shared" si="3" ref="D24:I24">IF(D22&gt;0,D22*D19,D10)</f>
        <v>0</v>
      </c>
      <c r="E24" s="148">
        <f t="shared" si="3"/>
        <v>0</v>
      </c>
      <c r="F24" s="148">
        <f t="shared" si="3"/>
        <v>0</v>
      </c>
      <c r="G24" s="148">
        <f t="shared" si="3"/>
        <v>0</v>
      </c>
      <c r="H24" s="148">
        <f t="shared" si="3"/>
        <v>0</v>
      </c>
      <c r="I24" s="148">
        <f t="shared" si="3"/>
        <v>0</v>
      </c>
      <c r="K24" s="115"/>
      <c r="M24" s="121"/>
      <c r="N24" s="122"/>
      <c r="O24" s="122"/>
      <c r="P24" s="122"/>
      <c r="Q24" s="122"/>
      <c r="R24" s="122"/>
      <c r="S24" s="122"/>
      <c r="T24" s="122"/>
      <c r="U24" s="122"/>
      <c r="V24" s="123"/>
      <c r="W24" s="122"/>
      <c r="X24" s="122"/>
      <c r="Y24" s="122"/>
      <c r="Z24" s="122"/>
    </row>
    <row r="25" spans="1:26" ht="15">
      <c r="A25" s="142"/>
      <c r="B25" s="145" t="s">
        <v>138</v>
      </c>
      <c r="C25" s="144">
        <f>IF($K$2="K8",ROUND(#REF!*C23,4),ROUND(C21*C23,4))</f>
        <v>0</v>
      </c>
      <c r="D25" s="144">
        <f>IF($K$2="K8",ROUND(#REF!*D23,4),ROUND(D21*D23,4))</f>
        <v>0</v>
      </c>
      <c r="E25" s="144">
        <f>IF($K$2="K8",ROUND(#REF!*E23,4),ROUND(E21*E23,4))</f>
        <v>0</v>
      </c>
      <c r="F25" s="144">
        <f>IF($K$2="K8",ROUND(#REF!*F23,4),ROUND(F21*F23,4))</f>
        <v>0</v>
      </c>
      <c r="G25" s="144">
        <f>IF($K$2="K8",ROUND(#REF!*G23,4),ROUND(G21*G23,4))</f>
        <v>0</v>
      </c>
      <c r="H25" s="144">
        <f>IF($K$2="K8",ROUND(#REF!*H23,4),ROUND(H21*H23,4))</f>
        <v>0</v>
      </c>
      <c r="I25" s="144">
        <f>IF($K$2="K8",ROUND(#REF!*I23,4),ROUND(I21*I23,4))</f>
        <v>0</v>
      </c>
      <c r="K25" s="127"/>
      <c r="M25" s="121"/>
      <c r="N25" s="122"/>
      <c r="O25" s="122"/>
      <c r="P25" s="122"/>
      <c r="Q25" s="122"/>
      <c r="R25" s="122"/>
      <c r="S25" s="122"/>
      <c r="T25" s="122"/>
      <c r="U25" s="122"/>
      <c r="V25" s="123"/>
      <c r="W25" s="122"/>
      <c r="X25" s="122"/>
      <c r="Y25" s="122"/>
      <c r="Z25" s="122"/>
    </row>
    <row r="26" spans="1:26" ht="15">
      <c r="A26" s="142"/>
      <c r="B26" s="145" t="s">
        <v>139</v>
      </c>
      <c r="C26" s="149">
        <f aca="true" t="shared" si="4" ref="C26:I26">IF((C24-C25)&gt;0,ROUND((C24-C25)*0.25,4),0)</f>
        <v>0</v>
      </c>
      <c r="D26" s="149">
        <f t="shared" si="4"/>
        <v>0</v>
      </c>
      <c r="E26" s="149">
        <f t="shared" si="4"/>
        <v>0</v>
      </c>
      <c r="F26" s="149">
        <f t="shared" si="4"/>
        <v>0</v>
      </c>
      <c r="G26" s="149">
        <f t="shared" si="4"/>
        <v>0</v>
      </c>
      <c r="H26" s="149">
        <f t="shared" si="4"/>
        <v>0</v>
      </c>
      <c r="I26" s="149">
        <f t="shared" si="4"/>
        <v>0</v>
      </c>
      <c r="K26" s="115"/>
      <c r="M26" s="121"/>
      <c r="N26" s="122"/>
      <c r="O26" s="122"/>
      <c r="P26" s="122"/>
      <c r="Q26" s="122"/>
      <c r="R26" s="122"/>
      <c r="S26" s="122"/>
      <c r="T26" s="122"/>
      <c r="U26" s="122"/>
      <c r="V26" s="123"/>
      <c r="W26" s="122"/>
      <c r="X26" s="122"/>
      <c r="Y26" s="122"/>
      <c r="Z26" s="122"/>
    </row>
    <row r="27" spans="1:26" ht="15">
      <c r="A27" s="142" t="s">
        <v>140</v>
      </c>
      <c r="B27" s="145" t="s">
        <v>141</v>
      </c>
      <c r="C27" s="147">
        <v>0.1283</v>
      </c>
      <c r="D27" s="147">
        <v>0.1283</v>
      </c>
      <c r="E27" s="147">
        <v>0.1311</v>
      </c>
      <c r="F27" s="147">
        <v>0.1311</v>
      </c>
      <c r="G27" s="163">
        <v>0.1311</v>
      </c>
      <c r="H27" s="163">
        <v>0.1311</v>
      </c>
      <c r="I27" s="163">
        <v>0.1311</v>
      </c>
      <c r="K27" s="115"/>
      <c r="M27" s="121"/>
      <c r="N27" s="122"/>
      <c r="O27" s="122"/>
      <c r="P27" s="122"/>
      <c r="Q27" s="122"/>
      <c r="R27" s="122"/>
      <c r="S27" s="122"/>
      <c r="T27" s="122"/>
      <c r="U27" s="122"/>
      <c r="V27" s="123"/>
      <c r="W27" s="122"/>
      <c r="X27" s="122"/>
      <c r="Y27" s="122"/>
      <c r="Z27" s="122"/>
    </row>
    <row r="28" spans="1:26" ht="15">
      <c r="A28" s="142"/>
      <c r="B28" s="145" t="s">
        <v>142</v>
      </c>
      <c r="C28" s="150">
        <f>C11</f>
        <v>0</v>
      </c>
      <c r="D28" s="150">
        <f aca="true" t="shared" si="5" ref="D28:I28">D11</f>
        <v>0</v>
      </c>
      <c r="E28" s="150">
        <f t="shared" si="5"/>
        <v>0</v>
      </c>
      <c r="F28" s="150">
        <f t="shared" si="5"/>
        <v>0</v>
      </c>
      <c r="G28" s="150">
        <f t="shared" si="5"/>
        <v>0</v>
      </c>
      <c r="H28" s="150">
        <f t="shared" si="5"/>
        <v>0</v>
      </c>
      <c r="I28" s="150">
        <f t="shared" si="5"/>
        <v>0</v>
      </c>
      <c r="K28" s="115"/>
      <c r="M28" s="121"/>
      <c r="N28" s="122"/>
      <c r="O28" s="122"/>
      <c r="P28" s="122"/>
      <c r="Q28" s="122"/>
      <c r="R28" s="122"/>
      <c r="S28" s="122"/>
      <c r="T28" s="122"/>
      <c r="U28" s="122"/>
      <c r="V28" s="123"/>
      <c r="W28" s="122"/>
      <c r="X28" s="122"/>
      <c r="Y28" s="122"/>
      <c r="Z28" s="122"/>
    </row>
    <row r="29" spans="1:26" ht="15">
      <c r="A29" s="142"/>
      <c r="B29" s="145" t="s">
        <v>138</v>
      </c>
      <c r="C29" s="144">
        <f aca="true" t="shared" si="6" ref="C29:I29">ROUND(C21*C27,4)</f>
        <v>0</v>
      </c>
      <c r="D29" s="144">
        <f t="shared" si="6"/>
        <v>0</v>
      </c>
      <c r="E29" s="144">
        <f t="shared" si="6"/>
        <v>0</v>
      </c>
      <c r="F29" s="144">
        <f t="shared" si="6"/>
        <v>0</v>
      </c>
      <c r="G29" s="144">
        <f t="shared" si="6"/>
        <v>0</v>
      </c>
      <c r="H29" s="144">
        <f t="shared" si="6"/>
        <v>0</v>
      </c>
      <c r="I29" s="144">
        <f t="shared" si="6"/>
        <v>0</v>
      </c>
      <c r="K29" s="115"/>
      <c r="M29" s="121"/>
      <c r="N29" s="122"/>
      <c r="O29" s="122"/>
      <c r="P29" s="122"/>
      <c r="Q29" s="122"/>
      <c r="R29" s="122"/>
      <c r="S29" s="122"/>
      <c r="T29" s="122"/>
      <c r="U29" s="122"/>
      <c r="V29" s="123"/>
      <c r="W29" s="122"/>
      <c r="X29" s="122"/>
      <c r="Y29" s="122"/>
      <c r="Z29" s="122"/>
    </row>
    <row r="30" spans="1:26" ht="15">
      <c r="A30" s="142"/>
      <c r="B30" s="145" t="s">
        <v>143</v>
      </c>
      <c r="C30" s="149">
        <f aca="true" t="shared" si="7" ref="C30:I30">IF((C28-C29)&gt;0,ROUND((C28-C29)*0.75,4),0)</f>
        <v>0</v>
      </c>
      <c r="D30" s="149">
        <f t="shared" si="7"/>
        <v>0</v>
      </c>
      <c r="E30" s="149">
        <f t="shared" si="7"/>
        <v>0</v>
      </c>
      <c r="F30" s="149">
        <f t="shared" si="7"/>
        <v>0</v>
      </c>
      <c r="G30" s="149">
        <f t="shared" si="7"/>
        <v>0</v>
      </c>
      <c r="H30" s="149">
        <f t="shared" si="7"/>
        <v>0</v>
      </c>
      <c r="I30" s="149">
        <f t="shared" si="7"/>
        <v>0</v>
      </c>
      <c r="K30" s="115"/>
      <c r="M30" s="121"/>
      <c r="N30" s="122"/>
      <c r="O30" s="122"/>
      <c r="P30" s="122"/>
      <c r="Q30" s="122"/>
      <c r="R30" s="122"/>
      <c r="S30" s="122"/>
      <c r="T30" s="122"/>
      <c r="U30" s="122"/>
      <c r="V30" s="123"/>
      <c r="W30" s="122"/>
      <c r="X30" s="122"/>
      <c r="Y30" s="122"/>
      <c r="Z30" s="122"/>
    </row>
    <row r="31" spans="1:26" ht="15">
      <c r="A31" s="142" t="s">
        <v>144</v>
      </c>
      <c r="B31" s="145" t="s">
        <v>145</v>
      </c>
      <c r="C31" s="147">
        <v>0.0207</v>
      </c>
      <c r="D31" s="147">
        <v>0.0207</v>
      </c>
      <c r="E31" s="147">
        <v>0.0239</v>
      </c>
      <c r="F31" s="147">
        <v>0.0239</v>
      </c>
      <c r="G31" s="163">
        <v>0.0239</v>
      </c>
      <c r="H31" s="163">
        <v>0.0239</v>
      </c>
      <c r="I31" s="163">
        <v>0.0239</v>
      </c>
      <c r="K31" s="115"/>
      <c r="M31" s="121"/>
      <c r="N31" s="122"/>
      <c r="O31" s="122"/>
      <c r="P31" s="122"/>
      <c r="Q31" s="122"/>
      <c r="R31" s="122"/>
      <c r="S31" s="122"/>
      <c r="T31" s="122"/>
      <c r="U31" s="122"/>
      <c r="V31" s="123"/>
      <c r="W31" s="122"/>
      <c r="X31" s="122"/>
      <c r="Y31" s="122"/>
      <c r="Z31" s="122"/>
    </row>
    <row r="32" spans="1:26" ht="15">
      <c r="A32" s="142"/>
      <c r="B32" s="145" t="s">
        <v>146</v>
      </c>
      <c r="C32" s="150">
        <f>C12</f>
        <v>0</v>
      </c>
      <c r="D32" s="150">
        <f aca="true" t="shared" si="8" ref="D32:I32">D12</f>
        <v>0</v>
      </c>
      <c r="E32" s="150">
        <f t="shared" si="8"/>
        <v>0</v>
      </c>
      <c r="F32" s="150">
        <f t="shared" si="8"/>
        <v>0</v>
      </c>
      <c r="G32" s="150">
        <f t="shared" si="8"/>
        <v>0</v>
      </c>
      <c r="H32" s="150">
        <f t="shared" si="8"/>
        <v>0</v>
      </c>
      <c r="I32" s="150">
        <f t="shared" si="8"/>
        <v>0</v>
      </c>
      <c r="K32" s="115"/>
      <c r="M32" s="121"/>
      <c r="N32" s="122"/>
      <c r="O32" s="122"/>
      <c r="P32" s="122"/>
      <c r="Q32" s="122"/>
      <c r="R32" s="122"/>
      <c r="S32" s="122"/>
      <c r="T32" s="122"/>
      <c r="U32" s="122"/>
      <c r="V32" s="123"/>
      <c r="W32" s="122"/>
      <c r="X32" s="122"/>
      <c r="Y32" s="122"/>
      <c r="Z32" s="122"/>
    </row>
    <row r="33" spans="1:26" ht="15">
      <c r="A33" s="142"/>
      <c r="B33" s="145" t="s">
        <v>138</v>
      </c>
      <c r="C33" s="151">
        <f aca="true" t="shared" si="9" ref="C33:I33">ROUND(C21*C31,4)</f>
        <v>0</v>
      </c>
      <c r="D33" s="151">
        <f t="shared" si="9"/>
        <v>0</v>
      </c>
      <c r="E33" s="151">
        <f t="shared" si="9"/>
        <v>0</v>
      </c>
      <c r="F33" s="151">
        <f t="shared" si="9"/>
        <v>0</v>
      </c>
      <c r="G33" s="151">
        <f t="shared" si="9"/>
        <v>0</v>
      </c>
      <c r="H33" s="151">
        <f t="shared" si="9"/>
        <v>0</v>
      </c>
      <c r="I33" s="151">
        <f t="shared" si="9"/>
        <v>0</v>
      </c>
      <c r="K33" s="115"/>
      <c r="M33" s="121"/>
      <c r="N33" s="122"/>
      <c r="O33" s="122"/>
      <c r="P33" s="122"/>
      <c r="Q33" s="122"/>
      <c r="R33" s="122"/>
      <c r="S33" s="122"/>
      <c r="T33" s="122"/>
      <c r="U33" s="122"/>
      <c r="V33" s="123"/>
      <c r="W33" s="122"/>
      <c r="X33" s="122"/>
      <c r="Y33" s="122"/>
      <c r="Z33" s="122"/>
    </row>
    <row r="34" spans="1:26" ht="15">
      <c r="A34" s="142"/>
      <c r="B34" s="145" t="s">
        <v>147</v>
      </c>
      <c r="C34" s="152">
        <f aca="true" t="shared" si="10" ref="C34:I34">IF((C32-C33)&gt;0,ROUND((C32-C33)*0.6,4),0)</f>
        <v>0</v>
      </c>
      <c r="D34" s="152">
        <f t="shared" si="10"/>
        <v>0</v>
      </c>
      <c r="E34" s="152">
        <f t="shared" si="10"/>
        <v>0</v>
      </c>
      <c r="F34" s="152">
        <f t="shared" si="10"/>
        <v>0</v>
      </c>
      <c r="G34" s="152">
        <f t="shared" si="10"/>
        <v>0</v>
      </c>
      <c r="H34" s="152">
        <f t="shared" si="10"/>
        <v>0</v>
      </c>
      <c r="I34" s="152">
        <f t="shared" si="10"/>
        <v>0</v>
      </c>
      <c r="K34" s="115"/>
      <c r="M34" s="121"/>
      <c r="N34" s="122"/>
      <c r="O34" s="122"/>
      <c r="P34" s="122"/>
      <c r="Q34" s="122"/>
      <c r="R34" s="122"/>
      <c r="S34" s="122"/>
      <c r="T34" s="122"/>
      <c r="U34" s="122"/>
      <c r="V34" s="123"/>
      <c r="W34" s="122"/>
      <c r="X34" s="122"/>
      <c r="Y34" s="122"/>
      <c r="Z34" s="122"/>
    </row>
    <row r="35" spans="1:26" ht="15">
      <c r="A35" s="142" t="s">
        <v>148</v>
      </c>
      <c r="B35" s="145" t="s">
        <v>149</v>
      </c>
      <c r="C35" s="152">
        <f>C8</f>
        <v>0</v>
      </c>
      <c r="D35" s="152">
        <f aca="true" t="shared" si="11" ref="D35:I35">D8</f>
        <v>0</v>
      </c>
      <c r="E35" s="152">
        <f t="shared" si="11"/>
        <v>0</v>
      </c>
      <c r="F35" s="152">
        <f t="shared" si="11"/>
        <v>0</v>
      </c>
      <c r="G35" s="152">
        <f t="shared" si="11"/>
        <v>0</v>
      </c>
      <c r="H35" s="152">
        <f t="shared" si="11"/>
        <v>0</v>
      </c>
      <c r="I35" s="152">
        <f t="shared" si="11"/>
        <v>0</v>
      </c>
      <c r="K35" s="115"/>
      <c r="M35" s="121"/>
      <c r="N35" s="122"/>
      <c r="O35" s="122"/>
      <c r="P35" s="122"/>
      <c r="Q35" s="122"/>
      <c r="R35" s="122"/>
      <c r="S35" s="122"/>
      <c r="T35" s="122"/>
      <c r="U35" s="122"/>
      <c r="V35" s="123"/>
      <c r="W35" s="122"/>
      <c r="X35" s="122"/>
      <c r="Y35" s="122"/>
      <c r="Z35" s="122"/>
    </row>
    <row r="36" spans="1:26" ht="15">
      <c r="A36" s="164" t="s">
        <v>150</v>
      </c>
      <c r="B36" s="145" t="s">
        <v>155</v>
      </c>
      <c r="C36" s="152">
        <f>C21+C26+C30+C34+C35</f>
        <v>0</v>
      </c>
      <c r="D36" s="152">
        <f aca="true" t="shared" si="12" ref="D36:I36">D21+D26+D30+D34+D35</f>
        <v>0</v>
      </c>
      <c r="E36" s="152">
        <f t="shared" si="12"/>
        <v>0</v>
      </c>
      <c r="F36" s="152">
        <f t="shared" si="12"/>
        <v>0</v>
      </c>
      <c r="G36" s="152">
        <f t="shared" si="12"/>
        <v>0</v>
      </c>
      <c r="H36" s="152">
        <f t="shared" si="12"/>
        <v>0</v>
      </c>
      <c r="I36" s="152">
        <f t="shared" si="12"/>
        <v>0</v>
      </c>
      <c r="K36" s="115"/>
      <c r="M36" s="121"/>
      <c r="N36" s="122"/>
      <c r="O36" s="122"/>
      <c r="P36" s="122"/>
      <c r="Q36" s="122"/>
      <c r="R36" s="122"/>
      <c r="S36" s="122"/>
      <c r="T36" s="122"/>
      <c r="U36" s="122"/>
      <c r="V36" s="123"/>
      <c r="W36" s="122"/>
      <c r="X36" s="122"/>
      <c r="Y36" s="122"/>
      <c r="Z36" s="122"/>
    </row>
    <row r="37" spans="1:26" ht="15">
      <c r="A37" s="164" t="s">
        <v>156</v>
      </c>
      <c r="B37" s="145" t="s">
        <v>157</v>
      </c>
      <c r="C37" s="152">
        <f>C36-C20</f>
        <v>0</v>
      </c>
      <c r="D37" s="152">
        <f aca="true" t="shared" si="13" ref="D37:I37">D36-D20</f>
        <v>0</v>
      </c>
      <c r="E37" s="152">
        <f t="shared" si="13"/>
        <v>0</v>
      </c>
      <c r="F37" s="152">
        <f t="shared" si="13"/>
        <v>0</v>
      </c>
      <c r="G37" s="152">
        <f t="shared" si="13"/>
        <v>0</v>
      </c>
      <c r="H37" s="152">
        <f t="shared" si="13"/>
        <v>0</v>
      </c>
      <c r="I37" s="152">
        <f t="shared" si="13"/>
        <v>0</v>
      </c>
      <c r="K37" s="115"/>
      <c r="M37" s="121"/>
      <c r="N37" s="122"/>
      <c r="O37" s="122"/>
      <c r="P37" s="122"/>
      <c r="Q37" s="122"/>
      <c r="R37" s="122"/>
      <c r="S37" s="122"/>
      <c r="T37" s="122"/>
      <c r="U37" s="122"/>
      <c r="V37" s="123"/>
      <c r="W37" s="122"/>
      <c r="X37" s="122"/>
      <c r="Y37" s="122"/>
      <c r="Z37" s="122"/>
    </row>
    <row r="38" spans="1:26" ht="39.75">
      <c r="A38" s="142" t="s">
        <v>150</v>
      </c>
      <c r="B38" s="165" t="s">
        <v>158</v>
      </c>
      <c r="C38" s="153"/>
      <c r="D38" s="153"/>
      <c r="E38" s="153">
        <f>MAX(C37:E37)+E20</f>
        <v>0</v>
      </c>
      <c r="F38" s="153">
        <f>MAX(D37:F37)+F20</f>
        <v>0</v>
      </c>
      <c r="G38" s="153">
        <f>MAX(E37:G37)+G20</f>
        <v>0</v>
      </c>
      <c r="H38" s="153">
        <f>MAX(F37:H37)+H20</f>
        <v>0</v>
      </c>
      <c r="I38" s="153">
        <f>MAX(G37:I37)+I20</f>
        <v>0</v>
      </c>
      <c r="K38" s="127"/>
      <c r="M38" s="121"/>
      <c r="N38" s="122"/>
      <c r="O38" s="122"/>
      <c r="P38" s="122"/>
      <c r="Q38" s="122"/>
      <c r="R38" s="122"/>
      <c r="S38" s="122"/>
      <c r="T38" s="122"/>
      <c r="U38" s="122"/>
      <c r="V38" s="123"/>
      <c r="W38" s="122"/>
      <c r="X38" s="122"/>
      <c r="Y38" s="122"/>
      <c r="Z38" s="122"/>
    </row>
    <row r="39" spans="1:26" ht="15">
      <c r="A39" s="142"/>
      <c r="B39" s="146"/>
      <c r="C39" s="151"/>
      <c r="D39" s="151"/>
      <c r="E39" s="151"/>
      <c r="F39" s="151"/>
      <c r="G39" s="151"/>
      <c r="H39" s="151"/>
      <c r="I39" s="151"/>
      <c r="K39" s="115"/>
      <c r="M39" s="121"/>
      <c r="N39" s="122"/>
      <c r="O39" s="122"/>
      <c r="P39" s="122"/>
      <c r="Q39" s="122"/>
      <c r="R39" s="122"/>
      <c r="S39" s="122"/>
      <c r="T39" s="122"/>
      <c r="U39" s="122"/>
      <c r="V39" s="123"/>
      <c r="W39" s="122"/>
      <c r="X39" s="122"/>
      <c r="Y39" s="122"/>
      <c r="Z39" s="122"/>
    </row>
    <row r="40" spans="1:26" ht="15">
      <c r="A40" s="154" t="s">
        <v>104</v>
      </c>
      <c r="B40" s="155"/>
      <c r="C40" s="156"/>
      <c r="D40" s="157"/>
      <c r="E40" s="157"/>
      <c r="F40" s="157"/>
      <c r="G40" s="157"/>
      <c r="H40" s="157"/>
      <c r="I40" s="158"/>
      <c r="K40" s="115"/>
      <c r="M40" s="121"/>
      <c r="N40" s="122"/>
      <c r="O40" s="122"/>
      <c r="P40" s="122"/>
      <c r="Q40" s="122"/>
      <c r="R40" s="122"/>
      <c r="S40" s="122"/>
      <c r="T40" s="122"/>
      <c r="U40" s="122"/>
      <c r="V40" s="123"/>
      <c r="W40" s="122"/>
      <c r="X40" s="122"/>
      <c r="Y40" s="122"/>
      <c r="Z40" s="122"/>
    </row>
    <row r="41" spans="1:26" ht="15">
      <c r="A41" s="159" t="s">
        <v>105</v>
      </c>
      <c r="B41" s="160"/>
      <c r="C41" s="161"/>
      <c r="D41" s="161"/>
      <c r="E41" s="161"/>
      <c r="F41" s="161"/>
      <c r="G41" s="161"/>
      <c r="H41" s="161"/>
      <c r="I41" s="162"/>
      <c r="K41" s="115"/>
      <c r="M41" s="121"/>
      <c r="N41" s="122"/>
      <c r="O41" s="122"/>
      <c r="P41" s="122"/>
      <c r="Q41" s="122"/>
      <c r="R41" s="122"/>
      <c r="S41" s="122"/>
      <c r="T41" s="122"/>
      <c r="U41" s="122"/>
      <c r="V41" s="123"/>
      <c r="W41" s="122"/>
      <c r="X41" s="122"/>
      <c r="Y41" s="122"/>
      <c r="Z41" s="122"/>
    </row>
    <row r="42" ht="15">
      <c r="I42"/>
    </row>
  </sheetData>
  <sheetProtection password="CC05" sheet="1" objects="1" scenarios="1"/>
  <mergeCells count="6">
    <mergeCell ref="A1:I1"/>
    <mergeCell ref="A2:G2"/>
    <mergeCell ref="C3:D3"/>
    <mergeCell ref="C4:D4"/>
    <mergeCell ref="A5:G5"/>
    <mergeCell ref="A17:I17"/>
  </mergeCells>
  <conditionalFormatting sqref="B19:B20 A7:G9">
    <cfRule type="expression" priority="3" dxfId="1" stopIfTrue="1">
      <formula>'WADA - Data Entry Page'!#REF!="K8"</formula>
    </cfRule>
  </conditionalFormatting>
  <conditionalFormatting sqref="B19:B20 A7:G9">
    <cfRule type="expression" priority="4" dxfId="0">
      <formula>'WADA - Data Entry Page'!#REF!="FL"</formula>
    </cfRule>
  </conditionalFormatting>
  <conditionalFormatting sqref="H7:I9">
    <cfRule type="expression" priority="1" dxfId="1" stopIfTrue="1">
      <formula>'WADA - Data Entry Page'!#REF!="K8"</formula>
    </cfRule>
  </conditionalFormatting>
  <conditionalFormatting sqref="H7:I9">
    <cfRule type="expression" priority="2" dxfId="0">
      <formula>'WADA - Data Entry Page'!#REF!="FL"</formula>
    </cfRule>
  </conditionalFormatting>
  <printOptions/>
  <pageMargins left="0.7" right="0.7" top="1.6479166666666667" bottom="0.75" header="0.3" footer="0.3"/>
  <pageSetup fitToHeight="0" fitToWidth="1" horizontalDpi="600" verticalDpi="600" orientation="landscape" scale="71" r:id="rId4"/>
  <headerFooter>
    <oddHeader>&amp;L&amp;G&amp;C
&amp;"-,Bold"&amp;14Divison of Financial and Administrative Services
School Finance
Charter School Basic Formula Projection Tool</oddHeader>
  </headerFooter>
  <legacyDrawing r:id="rId2"/>
  <legacyDrawingHF r:id="rId3"/>
</worksheet>
</file>

<file path=xl/worksheets/sheet3.xml><?xml version="1.0" encoding="utf-8"?>
<worksheet xmlns="http://schemas.openxmlformats.org/spreadsheetml/2006/main" xmlns:r="http://schemas.openxmlformats.org/officeDocument/2006/relationships">
  <sheetPr>
    <pageSetUpPr fitToPage="1"/>
  </sheetPr>
  <dimension ref="B1:J30"/>
  <sheetViews>
    <sheetView tabSelected="1" view="pageLayout" workbookViewId="0" topLeftCell="A1">
      <selection activeCell="B1" sqref="B1"/>
    </sheetView>
  </sheetViews>
  <sheetFormatPr defaultColWidth="9.140625" defaultRowHeight="12.75"/>
  <cols>
    <col min="1" max="1" width="8.8515625" style="30" customWidth="1"/>
    <col min="2" max="2" width="37.00390625" style="30" bestFit="1" customWidth="1"/>
    <col min="3" max="3" width="18.140625" style="30" bestFit="1" customWidth="1"/>
    <col min="4" max="4" width="16.8515625" style="30" bestFit="1" customWidth="1"/>
    <col min="5" max="5" width="18.140625" style="30" bestFit="1" customWidth="1"/>
    <col min="6" max="8" width="8.8515625" style="30" customWidth="1"/>
    <col min="9" max="9" width="71.28125" style="30" bestFit="1" customWidth="1"/>
    <col min="10" max="10" width="12.7109375" style="30" bestFit="1" customWidth="1"/>
    <col min="11" max="16384" width="8.8515625" style="30" customWidth="1"/>
  </cols>
  <sheetData>
    <row r="1" spans="3:5" ht="14.25">
      <c r="C1" s="52" t="s">
        <v>62</v>
      </c>
      <c r="D1" s="52" t="s">
        <v>64</v>
      </c>
      <c r="E1" s="52" t="s">
        <v>63</v>
      </c>
    </row>
    <row r="2" spans="2:10" ht="14.25">
      <c r="B2" s="166"/>
      <c r="C2" s="167" t="s">
        <v>10</v>
      </c>
      <c r="D2" s="167" t="s">
        <v>48</v>
      </c>
      <c r="E2" s="167" t="s">
        <v>21</v>
      </c>
      <c r="I2" s="172" t="s">
        <v>88</v>
      </c>
      <c r="J2" s="173">
        <f>C4</f>
        <v>2022</v>
      </c>
    </row>
    <row r="3" spans="2:9" ht="14.25">
      <c r="B3" s="167" t="s">
        <v>15</v>
      </c>
      <c r="C3" s="31">
        <v>2024</v>
      </c>
      <c r="D3" s="32">
        <f>C3</f>
        <v>2024</v>
      </c>
      <c r="E3" s="32">
        <f>C3</f>
        <v>2024</v>
      </c>
      <c r="I3" s="71" t="s">
        <v>85</v>
      </c>
    </row>
    <row r="4" spans="2:10" ht="14.25">
      <c r="B4" s="167" t="s">
        <v>20</v>
      </c>
      <c r="C4" s="33">
        <f>C3-2</f>
        <v>2022</v>
      </c>
      <c r="D4" s="32">
        <f>C4</f>
        <v>2022</v>
      </c>
      <c r="E4" s="32">
        <f>C4</f>
        <v>2022</v>
      </c>
      <c r="I4" s="72" t="s">
        <v>86</v>
      </c>
      <c r="J4" s="73">
        <v>30044603.98</v>
      </c>
    </row>
    <row r="5" spans="2:10" ht="14.25">
      <c r="B5" s="167" t="s">
        <v>74</v>
      </c>
      <c r="C5" s="31">
        <v>4.9599</v>
      </c>
      <c r="D5" s="31">
        <v>3.3129</v>
      </c>
      <c r="E5" s="31">
        <v>4.9868</v>
      </c>
      <c r="I5" s="72" t="s">
        <v>87</v>
      </c>
      <c r="J5" s="74">
        <f>E6</f>
        <v>4585110453</v>
      </c>
    </row>
    <row r="6" spans="2:10" ht="14.25">
      <c r="B6" s="167" t="s">
        <v>22</v>
      </c>
      <c r="C6" s="34">
        <v>4006402339</v>
      </c>
      <c r="D6" s="80">
        <v>308148990</v>
      </c>
      <c r="E6" s="35">
        <v>4585110453</v>
      </c>
      <c r="I6" s="72" t="s">
        <v>89</v>
      </c>
      <c r="J6" s="75">
        <f>J4/(J5/100)</f>
        <v>0.6552645631544615</v>
      </c>
    </row>
    <row r="7" spans="2:5" ht="14.25">
      <c r="B7" s="168"/>
      <c r="C7" s="32"/>
      <c r="D7" s="36"/>
      <c r="E7" s="32"/>
    </row>
    <row r="8" spans="2:10" ht="14.25">
      <c r="B8" s="168" t="s">
        <v>30</v>
      </c>
      <c r="C8" s="37">
        <v>17427.1747</v>
      </c>
      <c r="D8" s="82">
        <v>3427.2343</v>
      </c>
      <c r="E8" s="37">
        <v>22634.5835</v>
      </c>
      <c r="I8" s="76"/>
      <c r="J8" s="70"/>
    </row>
    <row r="9" spans="2:10" ht="14.25">
      <c r="B9" s="167" t="s">
        <v>159</v>
      </c>
      <c r="C9" s="37">
        <v>16197.3853</v>
      </c>
      <c r="D9" s="83">
        <v>135.2588</v>
      </c>
      <c r="E9" s="37">
        <v>12706.2124</v>
      </c>
      <c r="I9" s="77"/>
      <c r="J9" s="78"/>
    </row>
    <row r="10" spans="2:10" ht="14.25">
      <c r="B10" s="167" t="s">
        <v>72</v>
      </c>
      <c r="C10" s="37">
        <f>SUM(C8:C9)</f>
        <v>33624.56</v>
      </c>
      <c r="D10" s="37">
        <f>SUM(D8:D9)</f>
        <v>3562.4931</v>
      </c>
      <c r="E10" s="37">
        <f>SUM(E8:E9)</f>
        <v>35340.7959</v>
      </c>
      <c r="I10" s="77"/>
      <c r="J10" s="70"/>
    </row>
    <row r="11" spans="2:10" ht="14.25">
      <c r="B11" s="167" t="s">
        <v>19</v>
      </c>
      <c r="C11" s="38">
        <v>1.078</v>
      </c>
      <c r="D11" s="83">
        <v>1.092</v>
      </c>
      <c r="E11" s="38">
        <v>1.092</v>
      </c>
      <c r="I11" s="77"/>
      <c r="J11" s="78"/>
    </row>
    <row r="12" spans="2:10" ht="14.25">
      <c r="B12" s="167" t="s">
        <v>23</v>
      </c>
      <c r="C12" s="37">
        <v>6325.54</v>
      </c>
      <c r="D12" s="39">
        <f>C12</f>
        <v>6325.54</v>
      </c>
      <c r="E12" s="39">
        <f>C12</f>
        <v>6325.54</v>
      </c>
      <c r="I12" s="77"/>
      <c r="J12" s="78"/>
    </row>
    <row r="13" spans="2:10" s="84" customFormat="1" ht="14.25">
      <c r="B13" s="169" t="s">
        <v>34</v>
      </c>
      <c r="C13" s="40">
        <v>0.0158</v>
      </c>
      <c r="D13" s="40">
        <v>0.013</v>
      </c>
      <c r="E13" s="40">
        <v>0.0374</v>
      </c>
      <c r="I13" s="85"/>
      <c r="J13" s="86"/>
    </row>
    <row r="14" spans="2:10" s="84" customFormat="1" ht="14.25">
      <c r="B14" s="169" t="s">
        <v>27</v>
      </c>
      <c r="C14" s="41">
        <v>107102201.02</v>
      </c>
      <c r="D14" s="43">
        <v>10648057.85</v>
      </c>
      <c r="E14" s="42">
        <v>135448097.47</v>
      </c>
      <c r="I14" s="87"/>
      <c r="J14" s="88"/>
    </row>
    <row r="15" spans="2:5" s="84" customFormat="1" ht="14.25">
      <c r="B15" s="169" t="s">
        <v>28</v>
      </c>
      <c r="C15" s="43">
        <v>137389857</v>
      </c>
      <c r="D15" s="43">
        <v>32263673.33</v>
      </c>
      <c r="E15" s="44">
        <v>146397816.13</v>
      </c>
    </row>
    <row r="16" spans="2:5" s="84" customFormat="1" ht="14.25">
      <c r="B16" s="169" t="s">
        <v>29</v>
      </c>
      <c r="C16" s="37">
        <v>36900.7434</v>
      </c>
      <c r="D16" s="37">
        <v>5962.9106</v>
      </c>
      <c r="E16" s="37">
        <v>43048.2324</v>
      </c>
    </row>
    <row r="17" spans="2:5" ht="14.25">
      <c r="B17" s="170" t="s">
        <v>83</v>
      </c>
      <c r="C17" s="45">
        <f>C3-2</f>
        <v>2022</v>
      </c>
      <c r="D17" s="45">
        <f>C17</f>
        <v>2022</v>
      </c>
      <c r="E17" s="45">
        <f>C17</f>
        <v>2022</v>
      </c>
    </row>
    <row r="18" spans="2:5" ht="14.25">
      <c r="B18" s="171" t="s">
        <v>50</v>
      </c>
      <c r="C18" s="81">
        <v>165919413.22</v>
      </c>
      <c r="D18" s="81">
        <v>10347523.47</v>
      </c>
      <c r="E18" s="81">
        <v>195264846.3</v>
      </c>
    </row>
    <row r="19" spans="2:5" ht="14.25">
      <c r="B19" s="171" t="s">
        <v>51</v>
      </c>
      <c r="C19" s="81">
        <v>10660919.65</v>
      </c>
      <c r="D19" s="81">
        <v>2015454.71</v>
      </c>
      <c r="E19" s="81">
        <v>8708801.49</v>
      </c>
    </row>
    <row r="20" spans="2:5" ht="14.25">
      <c r="B20" s="171" t="s">
        <v>52</v>
      </c>
      <c r="C20" s="81">
        <v>1101404.58</v>
      </c>
      <c r="D20" s="81">
        <v>31805.22</v>
      </c>
      <c r="E20" s="81">
        <v>4624314.05</v>
      </c>
    </row>
    <row r="21" spans="2:5" ht="14.25">
      <c r="B21" s="171" t="s">
        <v>53</v>
      </c>
      <c r="C21" s="81">
        <v>11695874.86</v>
      </c>
      <c r="D21" s="81">
        <v>515489.35</v>
      </c>
      <c r="E21" s="81">
        <v>18407527.89</v>
      </c>
    </row>
    <row r="22" spans="2:5" ht="14.25">
      <c r="B22" s="171" t="s">
        <v>54</v>
      </c>
      <c r="C22" s="81">
        <v>2935974.22</v>
      </c>
      <c r="D22" s="81">
        <v>9497</v>
      </c>
      <c r="E22" s="81">
        <v>513033.15</v>
      </c>
    </row>
    <row r="23" spans="2:5" ht="14.25">
      <c r="B23" s="171" t="s">
        <v>55</v>
      </c>
      <c r="C23" s="81">
        <v>0</v>
      </c>
      <c r="D23" s="81">
        <v>0</v>
      </c>
      <c r="E23" s="81">
        <v>30044603.98</v>
      </c>
    </row>
    <row r="24" spans="2:5" ht="14.25">
      <c r="B24" s="171" t="s">
        <v>56</v>
      </c>
      <c r="C24" s="81">
        <v>4535978.58</v>
      </c>
      <c r="D24" s="81">
        <v>423082.99</v>
      </c>
      <c r="E24" s="81">
        <v>4289087.2</v>
      </c>
    </row>
    <row r="25" spans="2:5" ht="14.25">
      <c r="B25" s="167" t="s">
        <v>57</v>
      </c>
      <c r="C25" s="46">
        <f>SUM(C18:C24)</f>
        <v>196849565.11</v>
      </c>
      <c r="D25" s="46">
        <f>SUM(D18:D24)</f>
        <v>13342852.74</v>
      </c>
      <c r="E25" s="46">
        <f>SUM(E18:E24)</f>
        <v>261852214.06</v>
      </c>
    </row>
    <row r="27" spans="2:3" ht="14.25">
      <c r="B27" s="167" t="s">
        <v>69</v>
      </c>
      <c r="C27" s="81">
        <v>181470.59</v>
      </c>
    </row>
    <row r="29" ht="14.25">
      <c r="B29" s="30" t="s">
        <v>160</v>
      </c>
    </row>
    <row r="30" ht="14.25">
      <c r="B30" s="30" t="s">
        <v>84</v>
      </c>
    </row>
  </sheetData>
  <sheetProtection password="CC05" sheet="1"/>
  <printOptions/>
  <pageMargins left="0.7" right="0.7" top="1.4258333333333333" bottom="0.75" header="0.3" footer="0.3"/>
  <pageSetup fitToHeight="0" fitToWidth="1" horizontalDpi="300" verticalDpi="300" orientation="landscape" scale="59" r:id="rId2"/>
  <headerFooter>
    <oddHeader>&amp;L&amp;G&amp;C
&amp;"-,Bold"&amp;14Divison of Financial and Administrative Services
School Finance
Charter School Basic Formula Projection Tool</oddHead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T78"/>
  <sheetViews>
    <sheetView view="pageLayout" workbookViewId="0" topLeftCell="A40">
      <selection activeCell="C63" sqref="C63"/>
    </sheetView>
  </sheetViews>
  <sheetFormatPr defaultColWidth="9.140625" defaultRowHeight="12.75"/>
  <cols>
    <col min="1" max="1" width="4.00390625" style="8" customWidth="1"/>
    <col min="2" max="2" width="87.140625" style="0" bestFit="1" customWidth="1"/>
    <col min="3" max="3" width="17.57421875" style="3" bestFit="1" customWidth="1"/>
    <col min="4" max="4" width="16.421875" style="0" bestFit="1" customWidth="1"/>
    <col min="5" max="5" width="18.00390625" style="3" bestFit="1" customWidth="1"/>
    <col min="7" max="7" width="17.140625" style="0" customWidth="1"/>
    <col min="8" max="8" width="11.421875" style="0" customWidth="1"/>
    <col min="15" max="15" width="14.00390625" style="0" bestFit="1" customWidth="1"/>
    <col min="16" max="16" width="12.7109375" style="0" bestFit="1" customWidth="1"/>
  </cols>
  <sheetData>
    <row r="1" spans="1:5" ht="12.75">
      <c r="A1" s="174"/>
      <c r="B1" s="175"/>
      <c r="C1" s="176" t="s">
        <v>18</v>
      </c>
      <c r="D1" s="176" t="s">
        <v>48</v>
      </c>
      <c r="E1" s="176" t="s">
        <v>21</v>
      </c>
    </row>
    <row r="2" spans="1:11" ht="12.75">
      <c r="A2" s="22">
        <v>1</v>
      </c>
      <c r="B2" t="s">
        <v>12</v>
      </c>
      <c r="C2" s="17">
        <f>'Data Entry Page'!C8+'Data Entry Page'!C9</f>
        <v>33624.56</v>
      </c>
      <c r="D2" s="17">
        <f>'Data Entry Page'!D8+'Data Entry Page'!D9</f>
        <v>3562.4931</v>
      </c>
      <c r="E2" s="17">
        <f>'Data Entry Page'!E8+'Data Entry Page'!E9</f>
        <v>35340.7959</v>
      </c>
      <c r="G2" s="14"/>
      <c r="H2" s="12"/>
      <c r="I2" s="11"/>
      <c r="J2" s="18"/>
      <c r="K2" s="11"/>
    </row>
    <row r="3" spans="1:5" ht="12.75">
      <c r="A3" s="22">
        <v>2</v>
      </c>
      <c r="B3" t="s">
        <v>0</v>
      </c>
      <c r="C3" s="19">
        <f>'Data Entry Page'!C12</f>
        <v>6325.54</v>
      </c>
      <c r="D3" s="19">
        <f>'Data Entry Page'!D12</f>
        <v>6325.54</v>
      </c>
      <c r="E3" s="19">
        <f>'Data Entry Page'!E12</f>
        <v>6325.54</v>
      </c>
    </row>
    <row r="4" spans="1:5" ht="12.75">
      <c r="A4" s="22">
        <v>3</v>
      </c>
      <c r="B4" s="1" t="s">
        <v>1</v>
      </c>
      <c r="C4" s="29">
        <f>ROUND(C2*C3,2)</f>
        <v>212693499.26</v>
      </c>
      <c r="D4" s="29">
        <f>ROUND(D2*D3,2)</f>
        <v>22534692.6</v>
      </c>
      <c r="E4" s="29">
        <f>ROUND(E2*E3,2)</f>
        <v>223549618.1</v>
      </c>
    </row>
    <row r="5" spans="1:5" ht="12.75">
      <c r="A5" s="22">
        <v>4</v>
      </c>
      <c r="B5" s="1" t="s">
        <v>2</v>
      </c>
      <c r="C5" s="60">
        <f>'Data Entry Page'!C11</f>
        <v>1.078</v>
      </c>
      <c r="D5" s="60">
        <f>'Data Entry Page'!D11</f>
        <v>1.092</v>
      </c>
      <c r="E5" s="60">
        <f>'Data Entry Page'!E11</f>
        <v>1.092</v>
      </c>
    </row>
    <row r="6" spans="1:5" ht="12.75">
      <c r="A6" s="22">
        <v>5</v>
      </c>
      <c r="B6" s="1" t="s">
        <v>3</v>
      </c>
      <c r="C6" s="4">
        <f>ROUND(C4*C5,0)</f>
        <v>229283592</v>
      </c>
      <c r="D6" s="4">
        <f>ROUND(D4*D5,0)</f>
        <v>24607884</v>
      </c>
      <c r="E6" s="4">
        <f>ROUND(E4*E5,0)</f>
        <v>244116183</v>
      </c>
    </row>
    <row r="7" spans="1:5" ht="12.75">
      <c r="A7" s="22">
        <v>6</v>
      </c>
      <c r="B7" t="s">
        <v>4</v>
      </c>
      <c r="C7" s="20">
        <f>'Data Entry Page'!C14</f>
        <v>107102201.02</v>
      </c>
      <c r="D7" s="20">
        <f>'Data Entry Page'!D14</f>
        <v>10648057.85</v>
      </c>
      <c r="E7" s="20">
        <f>'Data Entry Page'!E14</f>
        <v>135448097.47</v>
      </c>
    </row>
    <row r="8" spans="1:5" ht="12.75">
      <c r="A8" s="22">
        <v>7</v>
      </c>
      <c r="B8" s="27" t="s">
        <v>36</v>
      </c>
      <c r="C8" s="4">
        <f>C6-C7</f>
        <v>122181390.98</v>
      </c>
      <c r="D8" s="4">
        <f>D6-D7</f>
        <v>13959826.15</v>
      </c>
      <c r="E8" s="4">
        <f>E6-E7</f>
        <v>108668085.53</v>
      </c>
    </row>
    <row r="9" spans="1:5" ht="12.75">
      <c r="A9" s="22"/>
      <c r="B9" s="1"/>
      <c r="C9" s="4"/>
      <c r="D9" s="4"/>
      <c r="E9" s="4"/>
    </row>
    <row r="10" spans="1:5" ht="12.75">
      <c r="A10" s="22">
        <v>8</v>
      </c>
      <c r="B10" s="1" t="s">
        <v>5</v>
      </c>
      <c r="C10" s="4">
        <f>'Data Entry Page'!C15</f>
        <v>137389857</v>
      </c>
      <c r="D10" s="4">
        <f>'Data Entry Page'!D15</f>
        <v>32263673.33</v>
      </c>
      <c r="E10" s="4">
        <f>'Data Entry Page'!E15</f>
        <v>146397816.13</v>
      </c>
    </row>
    <row r="11" spans="3:5" ht="12.75">
      <c r="C11" s="4"/>
      <c r="D11" s="4"/>
      <c r="E11" s="4"/>
    </row>
    <row r="12" spans="2:5" ht="12.75">
      <c r="B12" s="6" t="s">
        <v>11</v>
      </c>
      <c r="C12" s="4"/>
      <c r="D12" s="4"/>
      <c r="E12" s="4"/>
    </row>
    <row r="13" spans="1:5" ht="12.75">
      <c r="A13" s="22">
        <v>9</v>
      </c>
      <c r="B13" s="13" t="s">
        <v>37</v>
      </c>
      <c r="C13" s="4">
        <f>ROUND(C8*1,0)</f>
        <v>122181391</v>
      </c>
      <c r="D13" s="4">
        <f>ROUND(D8*1,0)</f>
        <v>13959826</v>
      </c>
      <c r="E13" s="4">
        <f>ROUND(E8*1,0)</f>
        <v>108668086</v>
      </c>
    </row>
    <row r="14" spans="1:5" ht="12.75">
      <c r="A14" s="22">
        <v>10</v>
      </c>
      <c r="B14" s="13" t="s">
        <v>38</v>
      </c>
      <c r="C14" s="4">
        <f>ROUND(C10*0,0)</f>
        <v>0</v>
      </c>
      <c r="D14" s="4">
        <f>ROUND(D10*0,0)</f>
        <v>0</v>
      </c>
      <c r="E14" s="4">
        <f>ROUND(E10*0,0)</f>
        <v>0</v>
      </c>
    </row>
    <row r="15" spans="1:5" ht="12.75">
      <c r="A15" s="22">
        <v>11</v>
      </c>
      <c r="B15" t="s">
        <v>6</v>
      </c>
      <c r="C15" s="4">
        <f>SUM(C13:C14)</f>
        <v>122181391</v>
      </c>
      <c r="D15" s="4">
        <f>SUM(D13:D14)</f>
        <v>13959826</v>
      </c>
      <c r="E15" s="4">
        <f>SUM(E13:E14)</f>
        <v>108668086</v>
      </c>
    </row>
    <row r="16" spans="1:5" ht="12.75">
      <c r="A16" s="22">
        <v>12</v>
      </c>
      <c r="B16" s="13" t="s">
        <v>39</v>
      </c>
      <c r="C16" s="7">
        <f>ROUND(C15/C2,4)</f>
        <v>3633.6949</v>
      </c>
      <c r="D16" s="7">
        <f>ROUND(D15/D2,4)</f>
        <v>3918.5552</v>
      </c>
      <c r="E16" s="7">
        <f>ROUND(E15/E2,4)</f>
        <v>3074.8624</v>
      </c>
    </row>
    <row r="17" spans="3:5" ht="12.75">
      <c r="C17" s="4"/>
      <c r="D17" s="4"/>
      <c r="E17" s="4"/>
    </row>
    <row r="18" spans="2:5" ht="12.75">
      <c r="B18" s="6" t="s">
        <v>7</v>
      </c>
      <c r="C18" s="4"/>
      <c r="D18" s="4"/>
      <c r="E18" s="4"/>
    </row>
    <row r="19" spans="1:5" ht="12.75">
      <c r="A19" s="22">
        <v>13</v>
      </c>
      <c r="B19" s="13" t="s">
        <v>40</v>
      </c>
      <c r="C19" s="5">
        <f>C5</f>
        <v>1.078</v>
      </c>
      <c r="D19" s="5">
        <f>D5</f>
        <v>1.092</v>
      </c>
      <c r="E19" s="5">
        <f>E5</f>
        <v>1.092</v>
      </c>
    </row>
    <row r="20" spans="1:5" ht="12.75">
      <c r="A20" s="22">
        <v>14</v>
      </c>
      <c r="B20" t="s">
        <v>8</v>
      </c>
      <c r="C20" s="4">
        <f>ROUND(C10*C19,0)</f>
        <v>148106266</v>
      </c>
      <c r="D20" s="4">
        <f>ROUND(D10*D19,0)</f>
        <v>35231931</v>
      </c>
      <c r="E20" s="4">
        <f>ROUND(E10*E19,0)</f>
        <v>159866415</v>
      </c>
    </row>
    <row r="21" spans="1:5" ht="12.75">
      <c r="A21" s="22">
        <v>15</v>
      </c>
      <c r="B21" s="13" t="s">
        <v>41</v>
      </c>
      <c r="C21" s="9">
        <f>ROUND(C20/'Data Entry Page'!C16,4)</f>
        <v>4013.6391</v>
      </c>
      <c r="D21" s="9">
        <f>ROUND(D20/'Data Entry Page'!D16,4)</f>
        <v>5908.5124</v>
      </c>
      <c r="E21" s="9">
        <f>ROUND(E20/'Data Entry Page'!E16,4)</f>
        <v>3713.6581</v>
      </c>
    </row>
    <row r="22" ht="12.75">
      <c r="D22" s="3"/>
    </row>
    <row r="23" spans="1:5" ht="12.75">
      <c r="A23" s="22">
        <v>16</v>
      </c>
      <c r="B23" s="13" t="s">
        <v>42</v>
      </c>
      <c r="C23" s="4">
        <f>ROUND(C2*C21,0)</f>
        <v>134956849</v>
      </c>
      <c r="D23" s="4">
        <f>ROUND(D2*D21,0)</f>
        <v>21049035</v>
      </c>
      <c r="E23" s="4">
        <f>ROUND(E2*E21,0)</f>
        <v>131243633</v>
      </c>
    </row>
    <row r="24" ht="12.75">
      <c r="D24" s="3"/>
    </row>
    <row r="25" spans="1:5" ht="12.75">
      <c r="A25" s="22">
        <v>17</v>
      </c>
      <c r="B25" s="13" t="s">
        <v>43</v>
      </c>
      <c r="C25" s="4">
        <f>IF(C15&gt;C23,C15,C23)</f>
        <v>134956849</v>
      </c>
      <c r="D25" s="4">
        <f>IF(D15&gt;D23,D15,D23)</f>
        <v>21049035</v>
      </c>
      <c r="E25" s="4">
        <f>IF(E15&gt;E23,E15,E23)</f>
        <v>131243633</v>
      </c>
    </row>
    <row r="26" spans="1:5" s="11" customFormat="1" ht="12.75">
      <c r="A26" s="23"/>
      <c r="B26" s="79">
        <v>1</v>
      </c>
      <c r="C26" s="20">
        <f>C25*B26</f>
        <v>134956849</v>
      </c>
      <c r="D26" s="20">
        <f>D25*B26</f>
        <v>21049035</v>
      </c>
      <c r="E26" s="20">
        <f>E25*B26</f>
        <v>131243633</v>
      </c>
    </row>
    <row r="27" ht="12.75">
      <c r="D27" s="3"/>
    </row>
    <row r="28" spans="2:4" ht="12.75">
      <c r="B28" s="28" t="s">
        <v>14</v>
      </c>
      <c r="D28" s="3"/>
    </row>
    <row r="29" spans="2:16" ht="12.75">
      <c r="B29" s="13" t="s">
        <v>16</v>
      </c>
      <c r="C29" s="4">
        <f>'Data Entry Page'!C6</f>
        <v>4006402339</v>
      </c>
      <c r="D29" s="4">
        <f>'Data Entry Page'!D6</f>
        <v>308148990</v>
      </c>
      <c r="E29" s="4">
        <f>'Data Entry Page'!E6</f>
        <v>4585110453</v>
      </c>
      <c r="L29" s="11"/>
      <c r="M29" s="11"/>
      <c r="N29" s="11"/>
      <c r="O29" s="11"/>
      <c r="P29" s="15"/>
    </row>
    <row r="30" spans="2:16" ht="12.75">
      <c r="B30" s="13" t="s">
        <v>24</v>
      </c>
      <c r="C30" s="10">
        <f>'Data Entry Page'!C5</f>
        <v>4.9599</v>
      </c>
      <c r="D30" s="10">
        <f>'Data Entry Page'!D5</f>
        <v>3.3129</v>
      </c>
      <c r="E30" s="10">
        <f>'Data Entry Page'!E5</f>
        <v>4.9868</v>
      </c>
      <c r="L30" s="11"/>
      <c r="M30" s="11"/>
      <c r="N30" s="11"/>
      <c r="O30" s="11"/>
      <c r="P30" s="15"/>
    </row>
    <row r="31" spans="2:16" ht="12.75">
      <c r="B31" t="s">
        <v>17</v>
      </c>
      <c r="C31" s="48">
        <f>IF(C30&lt;3.43,0,ROUND((C29/100)*(C30-3.43),0))</f>
        <v>61293949</v>
      </c>
      <c r="D31" s="48">
        <f>IF(D30&lt;3.43,0,ROUND((D29/100)*(D30-3.43),0))</f>
        <v>0</v>
      </c>
      <c r="E31" s="48">
        <f>IF(E30&lt;3.43,0,ROUND((E29/100)*(E30-3.43),0))</f>
        <v>71381000</v>
      </c>
      <c r="L31" s="11"/>
      <c r="M31" s="11"/>
      <c r="N31" s="11"/>
      <c r="O31" s="11"/>
      <c r="P31" s="11"/>
    </row>
    <row r="32" spans="2:16" ht="12.75">
      <c r="B32" s="13" t="s">
        <v>25</v>
      </c>
      <c r="C32" s="21">
        <f>'Data Entry Page'!C13</f>
        <v>0.0158</v>
      </c>
      <c r="D32" s="21">
        <f>'Data Entry Page'!D13</f>
        <v>0.013</v>
      </c>
      <c r="E32" s="21">
        <f>'Data Entry Page'!E13</f>
        <v>0.0374</v>
      </c>
      <c r="L32" s="11"/>
      <c r="M32" s="11"/>
      <c r="N32" s="11"/>
      <c r="O32" s="11"/>
      <c r="P32" s="11"/>
    </row>
    <row r="33" spans="2:16" ht="12.75">
      <c r="B33" s="13" t="s">
        <v>26</v>
      </c>
      <c r="C33" s="48">
        <f>ROUND(C31*C32,2)</f>
        <v>968444.39</v>
      </c>
      <c r="D33" s="48">
        <f>ROUND(D31*D32,2)</f>
        <v>0</v>
      </c>
      <c r="E33" s="48">
        <f>ROUND(E31*E32,2)</f>
        <v>2669649.4</v>
      </c>
      <c r="L33" s="11"/>
      <c r="M33" s="11"/>
      <c r="N33" s="11"/>
      <c r="O33" s="11"/>
      <c r="P33" s="11"/>
    </row>
    <row r="34" spans="2:16" ht="12.75">
      <c r="B34" t="s">
        <v>9</v>
      </c>
      <c r="C34" s="48">
        <f>C31-C33</f>
        <v>60325504.61</v>
      </c>
      <c r="D34" s="48">
        <f>D31-D33</f>
        <v>0</v>
      </c>
      <c r="E34" s="48">
        <f>E31-E33</f>
        <v>68711350.6</v>
      </c>
      <c r="L34" s="11"/>
      <c r="M34" s="11"/>
      <c r="N34" s="11"/>
      <c r="O34" s="11"/>
      <c r="P34" s="11"/>
    </row>
    <row r="35" spans="1:5" s="11" customFormat="1" ht="12.75">
      <c r="A35" s="23"/>
      <c r="B35" s="14" t="s">
        <v>49</v>
      </c>
      <c r="C35" s="29">
        <f>'Data Entry Page'!C10</f>
        <v>33624.56</v>
      </c>
      <c r="D35" s="29">
        <f>'Data Entry Page'!D10</f>
        <v>3562.4931</v>
      </c>
      <c r="E35" s="29">
        <f>'Data Entry Page'!E10</f>
        <v>35340.7959</v>
      </c>
    </row>
    <row r="36" spans="1:16" ht="12.75">
      <c r="A36" s="22">
        <v>18</v>
      </c>
      <c r="B36" t="s">
        <v>13</v>
      </c>
      <c r="C36" s="48">
        <f>ROUND(C34/C35,4)</f>
        <v>1794.0905</v>
      </c>
      <c r="D36" s="48">
        <f>ROUND(D34/D35,4)</f>
        <v>0</v>
      </c>
      <c r="E36" s="48">
        <f>ROUND(E34/E35,4)</f>
        <v>1944.2502</v>
      </c>
      <c r="L36" s="11"/>
      <c r="M36" s="11"/>
      <c r="N36" s="11"/>
      <c r="O36" s="11"/>
      <c r="P36" s="11"/>
    </row>
    <row r="37" spans="4:16" ht="12.75">
      <c r="D37" s="3"/>
      <c r="L37" s="11"/>
      <c r="M37" s="11"/>
      <c r="N37" s="11"/>
      <c r="O37" s="11"/>
      <c r="P37" s="11"/>
    </row>
    <row r="38" spans="2:16" ht="12.75">
      <c r="B38" s="28" t="s">
        <v>44</v>
      </c>
      <c r="D38" s="3"/>
      <c r="L38" s="11"/>
      <c r="M38" s="11"/>
      <c r="N38" s="11"/>
      <c r="O38" s="11"/>
      <c r="P38" s="11"/>
    </row>
    <row r="39" spans="2:16" ht="12.75">
      <c r="B39" s="13" t="s">
        <v>90</v>
      </c>
      <c r="C39" s="4">
        <v>0</v>
      </c>
      <c r="D39" s="25" t="s">
        <v>35</v>
      </c>
      <c r="E39" s="25" t="s">
        <v>35</v>
      </c>
      <c r="G39" s="11"/>
      <c r="H39" s="11"/>
      <c r="I39" s="11"/>
      <c r="J39" s="11"/>
      <c r="L39" s="11"/>
      <c r="M39" s="11"/>
      <c r="N39" s="11"/>
      <c r="O39" s="16"/>
      <c r="P39" s="11"/>
    </row>
    <row r="40" spans="1:5" ht="12.75">
      <c r="A40" s="22">
        <v>19</v>
      </c>
      <c r="B40" s="13" t="s">
        <v>45</v>
      </c>
      <c r="C40" s="7">
        <f>ROUND(C39/C35,4)</f>
        <v>0</v>
      </c>
      <c r="D40" s="26" t="s">
        <v>35</v>
      </c>
      <c r="E40" s="26" t="s">
        <v>35</v>
      </c>
    </row>
    <row r="41" spans="2:5" ht="12.75">
      <c r="B41" s="13"/>
      <c r="C41" s="7"/>
      <c r="D41" s="7"/>
      <c r="E41" s="7"/>
    </row>
    <row r="42" spans="2:5" ht="12.75">
      <c r="B42" s="13"/>
      <c r="C42" s="7"/>
      <c r="D42" s="7"/>
      <c r="E42" s="7"/>
    </row>
    <row r="43" spans="2:5" ht="12.75">
      <c r="B43" s="13"/>
      <c r="C43" s="7"/>
      <c r="D43" s="7"/>
      <c r="E43" s="7"/>
    </row>
    <row r="44" spans="1:7" ht="12.75">
      <c r="A44" s="22">
        <v>20</v>
      </c>
      <c r="B44" s="177" t="s">
        <v>46</v>
      </c>
      <c r="C44" s="178">
        <f>C7/C2</f>
        <v>3185.2372497959827</v>
      </c>
      <c r="D44" s="178">
        <f>D7/D2</f>
        <v>2988.934308392064</v>
      </c>
      <c r="E44" s="178">
        <f>E7/E2</f>
        <v>3832.6272518950263</v>
      </c>
      <c r="G44" s="65"/>
    </row>
    <row r="45" spans="1:7" ht="12.75">
      <c r="A45" s="22">
        <v>21</v>
      </c>
      <c r="B45" s="177" t="s">
        <v>31</v>
      </c>
      <c r="C45" s="178">
        <f>C36</f>
        <v>1794.0905</v>
      </c>
      <c r="D45" s="178">
        <f>D36</f>
        <v>0</v>
      </c>
      <c r="E45" s="178">
        <f>E36</f>
        <v>1944.2502</v>
      </c>
      <c r="G45" s="65"/>
    </row>
    <row r="46" spans="1:7" ht="12.75">
      <c r="A46" s="22">
        <v>22</v>
      </c>
      <c r="B46" s="177" t="s">
        <v>32</v>
      </c>
      <c r="C46" s="178">
        <f>((C45+C44-C40)*'Data Entry Page'!C9)/'Data Entry Page'!C8</f>
        <v>4627.949824731344</v>
      </c>
      <c r="D46" s="178">
        <f>((D45+D44)*'Data Entry Page'!D9)/'Data Entry Page'!D8</f>
        <v>117.96090738002374</v>
      </c>
      <c r="E46" s="178">
        <f>((E45+E44)*'Data Entry Page'!E9)/'Data Entry Page'!E8</f>
        <v>3242.923905030061</v>
      </c>
      <c r="G46" s="66"/>
    </row>
    <row r="47" spans="1:7" s="11" customFormat="1" ht="12.75">
      <c r="A47" s="24">
        <v>23</v>
      </c>
      <c r="B47" s="175" t="s">
        <v>47</v>
      </c>
      <c r="C47" s="179">
        <f>C26/C2</f>
        <v>4013.639107842601</v>
      </c>
      <c r="D47" s="179">
        <f>D26/D2</f>
        <v>5908.512496487361</v>
      </c>
      <c r="E47" s="179">
        <f>E26/E2</f>
        <v>3713.6581012879797</v>
      </c>
      <c r="G47" s="67"/>
    </row>
    <row r="48" spans="4:7" ht="12.75">
      <c r="D48" s="3"/>
      <c r="G48" s="65"/>
    </row>
    <row r="49" spans="1:8" ht="12.75">
      <c r="A49" s="8">
        <v>24</v>
      </c>
      <c r="B49" s="180" t="s">
        <v>77</v>
      </c>
      <c r="C49" s="181">
        <f>C36+C47+C44+C53</f>
        <v>8332.014488782952</v>
      </c>
      <c r="D49" s="181">
        <f>D36+D47+D44+D53</f>
        <v>8897.446804879426</v>
      </c>
      <c r="E49" s="181">
        <f>E36+E47+E44+E53</f>
        <v>9490.535553183006</v>
      </c>
      <c r="G49" s="65"/>
      <c r="H49" s="61"/>
    </row>
    <row r="50" spans="4:20" ht="12.75">
      <c r="D50" s="3"/>
      <c r="G50" s="65"/>
      <c r="L50" s="11"/>
      <c r="M50" s="11"/>
      <c r="N50" s="11"/>
      <c r="O50" s="11"/>
      <c r="P50" s="11"/>
      <c r="Q50" s="11"/>
      <c r="R50" s="11"/>
      <c r="S50" s="11"/>
      <c r="T50" s="11"/>
    </row>
    <row r="51" spans="1:20" ht="12.75">
      <c r="A51" s="8">
        <v>25</v>
      </c>
      <c r="B51" s="180" t="s">
        <v>33</v>
      </c>
      <c r="C51" s="182">
        <f>C47-C46</f>
        <v>-614.3107168887432</v>
      </c>
      <c r="D51" s="182">
        <f>D47-D46</f>
        <v>5790.551589107337</v>
      </c>
      <c r="E51" s="182">
        <f>E47-E46</f>
        <v>470.7341962579185</v>
      </c>
      <c r="G51" s="65"/>
      <c r="H51" s="61"/>
      <c r="L51" s="11"/>
      <c r="M51" s="11"/>
      <c r="N51" s="11"/>
      <c r="O51" s="11"/>
      <c r="P51" s="11"/>
      <c r="Q51" s="11"/>
      <c r="R51" s="11"/>
      <c r="S51" s="11"/>
      <c r="T51" s="11"/>
    </row>
    <row r="52" spans="2:20" ht="12.75">
      <c r="B52" s="185" t="s">
        <v>75</v>
      </c>
      <c r="C52" s="186">
        <f>IF(C51&lt;0,C51*C59,0)</f>
        <v>-10705700.183302367</v>
      </c>
      <c r="D52" s="186">
        <f>IF(D51&lt;0,D51*D59,0)</f>
        <v>0</v>
      </c>
      <c r="E52" s="186">
        <f>IF(E51&lt;0,E51*E59,0)</f>
        <v>0</v>
      </c>
      <c r="G52" s="65"/>
      <c r="H52" s="61"/>
      <c r="L52" s="11"/>
      <c r="M52" s="11"/>
      <c r="N52" s="11"/>
      <c r="O52" s="11"/>
      <c r="P52" s="11"/>
      <c r="Q52" s="11"/>
      <c r="R52" s="11"/>
      <c r="S52" s="11"/>
      <c r="T52" s="11"/>
    </row>
    <row r="53" spans="2:20" ht="12.75">
      <c r="B53" s="185" t="s">
        <v>76</v>
      </c>
      <c r="C53" s="186">
        <f>C52/C60</f>
        <v>-660.9523688556305</v>
      </c>
      <c r="D53" s="186">
        <f>D52/'Data Entry Page'!D9</f>
        <v>0</v>
      </c>
      <c r="E53" s="186">
        <f>E52/'Data Entry Page'!E9</f>
        <v>0</v>
      </c>
      <c r="G53" s="65"/>
      <c r="H53" s="61"/>
      <c r="L53" s="11"/>
      <c r="M53" s="11"/>
      <c r="N53" s="11"/>
      <c r="O53" s="11"/>
      <c r="P53" s="11"/>
      <c r="Q53" s="11"/>
      <c r="R53" s="11"/>
      <c r="S53" s="11"/>
      <c r="T53" s="11"/>
    </row>
    <row r="54" spans="1:8" s="11" customFormat="1" ht="12.75">
      <c r="A54" s="23"/>
      <c r="B54" s="62"/>
      <c r="C54" s="63"/>
      <c r="D54" s="63"/>
      <c r="E54" s="63"/>
      <c r="G54" s="67"/>
      <c r="H54" s="64"/>
    </row>
    <row r="55" spans="1:20" ht="12.75">
      <c r="A55" s="8">
        <v>26</v>
      </c>
      <c r="B55" s="180" t="s">
        <v>73</v>
      </c>
      <c r="C55" s="182">
        <f>C49</f>
        <v>8332.014488782952</v>
      </c>
      <c r="D55" s="182">
        <f>D49</f>
        <v>8897.446804879426</v>
      </c>
      <c r="E55" s="182">
        <f>E49</f>
        <v>9490.535553183006</v>
      </c>
      <c r="G55" s="65"/>
      <c r="H55" s="61"/>
      <c r="L55" s="11"/>
      <c r="M55" s="11"/>
      <c r="N55" s="11"/>
      <c r="O55" s="11"/>
      <c r="P55" s="11"/>
      <c r="Q55" s="11"/>
      <c r="R55" s="11"/>
      <c r="S55" s="11"/>
      <c r="T55" s="11"/>
    </row>
    <row r="56" spans="2:20" ht="12.75">
      <c r="B56" s="180" t="s">
        <v>78</v>
      </c>
      <c r="C56" s="182">
        <f>IF(C51&lt;0,0,C51)</f>
        <v>0</v>
      </c>
      <c r="D56" s="182">
        <f>IF(D51&lt;0,0,D51)</f>
        <v>5790.551589107337</v>
      </c>
      <c r="E56" s="182">
        <f>IF(E51&lt;0,0,E51)</f>
        <v>470.7341962579185</v>
      </c>
      <c r="G56" s="65"/>
      <c r="H56" s="61"/>
      <c r="L56" s="11"/>
      <c r="M56" s="11"/>
      <c r="N56" s="11"/>
      <c r="O56" s="11"/>
      <c r="P56" s="11"/>
      <c r="Q56" s="11"/>
      <c r="R56" s="11"/>
      <c r="S56" s="11"/>
      <c r="T56" s="11"/>
    </row>
    <row r="57" spans="2:20" ht="12.75">
      <c r="B57" s="185" t="s">
        <v>79</v>
      </c>
      <c r="C57" s="186">
        <f>(C55*'Data Entry Page'!C9)+('District &amp; Charter Calculation'!C56*'Data Entry Page'!C8)-C26</f>
        <v>0</v>
      </c>
      <c r="D57" s="186">
        <f>(D55*'Data Entry Page'!D9)+('District &amp; Charter Calculation'!D56*'Data Entry Page'!D8)-D26</f>
        <v>0</v>
      </c>
      <c r="E57" s="186">
        <f>(E55*'Data Entry Page'!E9)+('District &amp; Charter Calculation'!E56*'Data Entry Page'!E8)-E26</f>
        <v>0</v>
      </c>
      <c r="G57" s="65"/>
      <c r="H57" s="61"/>
      <c r="L57" s="11"/>
      <c r="M57" s="11"/>
      <c r="N57" s="11"/>
      <c r="O57" s="11"/>
      <c r="P57" s="11"/>
      <c r="Q57" s="11"/>
      <c r="R57" s="11"/>
      <c r="S57" s="11"/>
      <c r="T57" s="11"/>
    </row>
    <row r="59" spans="1:5" ht="14.25">
      <c r="A59" s="52">
        <v>27</v>
      </c>
      <c r="B59" s="30" t="s">
        <v>59</v>
      </c>
      <c r="C59" s="49">
        <f>'Data Entry Page'!C8</f>
        <v>17427.1747</v>
      </c>
      <c r="D59" s="49">
        <f>'Data Entry Page'!D8</f>
        <v>3427.2343</v>
      </c>
      <c r="E59" s="49">
        <f>'Data Entry Page'!E8</f>
        <v>22634.5835</v>
      </c>
    </row>
    <row r="60" spans="1:5" ht="14.25">
      <c r="A60" s="52">
        <v>28</v>
      </c>
      <c r="B60" s="54" t="s">
        <v>61</v>
      </c>
      <c r="C60" s="49">
        <f>'Data Entry Page'!C9</f>
        <v>16197.3853</v>
      </c>
      <c r="D60" s="49">
        <f>'Data Entry Page'!D9</f>
        <v>135.2588</v>
      </c>
      <c r="E60" s="49">
        <f>'Data Entry Page'!E9</f>
        <v>12706.2124</v>
      </c>
    </row>
    <row r="61" spans="1:5" ht="14.25">
      <c r="A61" s="52"/>
      <c r="B61" s="54"/>
      <c r="C61" s="49"/>
      <c r="D61" s="51"/>
      <c r="E61" s="49"/>
    </row>
    <row r="62" spans="1:5" ht="16.5" customHeight="1">
      <c r="A62" s="52">
        <v>29</v>
      </c>
      <c r="B62" s="30" t="s">
        <v>58</v>
      </c>
      <c r="C62" s="7">
        <f>'Data Entry Page'!C25</f>
        <v>196849565.11</v>
      </c>
      <c r="D62" s="7">
        <f>'Data Entry Page'!D25</f>
        <v>13342852.74</v>
      </c>
      <c r="E62" s="7">
        <f>'Data Entry Page'!E25</f>
        <v>261852214.06</v>
      </c>
    </row>
    <row r="63" spans="1:5" ht="14.25">
      <c r="A63" s="52">
        <v>30</v>
      </c>
      <c r="B63" s="53" t="s">
        <v>60</v>
      </c>
      <c r="C63" s="49">
        <f>C62/'Data Entry Page'!C8</f>
        <v>11295.55240586416</v>
      </c>
      <c r="D63" s="50">
        <f>D62/'Data Entry Page'!D8</f>
        <v>3893.183707924492</v>
      </c>
      <c r="E63" s="49">
        <f>E62/'Data Entry Page'!E8</f>
        <v>11568.678259973283</v>
      </c>
    </row>
    <row r="64" spans="1:5" ht="14.25">
      <c r="A64" s="52">
        <v>31</v>
      </c>
      <c r="B64" s="53" t="s">
        <v>65</v>
      </c>
      <c r="C64" s="49">
        <f>(C44+C45+C53)*C60</f>
        <v>69946389.91512515</v>
      </c>
      <c r="D64" s="49">
        <f>(D44+D45+D53)*D60</f>
        <v>404279.6678319405</v>
      </c>
      <c r="E64" s="49">
        <f>(E44+E45+E53)*E60</f>
        <v>73402231.91254899</v>
      </c>
    </row>
    <row r="65" spans="1:5" ht="14.25">
      <c r="A65" s="52">
        <v>32</v>
      </c>
      <c r="B65" s="53" t="s">
        <v>67</v>
      </c>
      <c r="C65" s="51">
        <f>IF(C51&lt;0,C62,C59*C51+C62)</f>
        <v>196849565.11</v>
      </c>
      <c r="D65" s="51">
        <f>IF(D51&lt;0,D62,D59*D51+D62)</f>
        <v>33188429.762108177</v>
      </c>
      <c r="E65" s="51">
        <f>IF(E51&lt;0,E62,E59*E51+E62)</f>
        <v>272507086.5315052</v>
      </c>
    </row>
    <row r="66" spans="1:5" ht="14.25">
      <c r="A66" s="69">
        <v>33</v>
      </c>
      <c r="B66" s="183" t="s">
        <v>66</v>
      </c>
      <c r="C66" s="184">
        <f>C65/C59</f>
        <v>11295.55240586416</v>
      </c>
      <c r="D66" s="184">
        <f>D65/D59</f>
        <v>9683.73529703183</v>
      </c>
      <c r="E66" s="184">
        <f>E65/E59</f>
        <v>12039.4124562312</v>
      </c>
    </row>
    <row r="67" spans="1:5" ht="14.25">
      <c r="A67" s="69"/>
      <c r="B67" s="187" t="s">
        <v>91</v>
      </c>
      <c r="C67" s="188">
        <f>C66-C55</f>
        <v>2963.5379170812084</v>
      </c>
      <c r="D67" s="188">
        <f>D66-D55</f>
        <v>786.2884921524037</v>
      </c>
      <c r="E67" s="188">
        <f>E66-E55</f>
        <v>2548.8769030481944</v>
      </c>
    </row>
    <row r="68" spans="1:5" ht="14.25">
      <c r="A68" s="52">
        <v>34</v>
      </c>
      <c r="B68" s="53" t="s">
        <v>81</v>
      </c>
      <c r="C68" s="48">
        <f>IF(C51&lt;=0,0,C51*C59)</f>
        <v>0</v>
      </c>
      <c r="D68" s="48">
        <f>IF(D51&lt;=0,0,D51*D59)</f>
        <v>19845577.022108175</v>
      </c>
      <c r="E68" s="48">
        <f>IF(E51&lt;=0,0,E51*E59)</f>
        <v>10654872.471505243</v>
      </c>
    </row>
    <row r="69" spans="1:5" ht="14.25">
      <c r="A69" s="52">
        <v>35</v>
      </c>
      <c r="B69" s="54" t="s">
        <v>82</v>
      </c>
      <c r="C69" s="48">
        <f>C60*C66</f>
        <v>182958414.4941238</v>
      </c>
      <c r="D69" s="48">
        <f>D60*D66</f>
        <v>1309810.4157941688</v>
      </c>
      <c r="E69" s="48">
        <f>E60*E66</f>
        <v>152975331.84007934</v>
      </c>
    </row>
    <row r="70" spans="2:5" ht="14.25">
      <c r="B70" s="58" t="s">
        <v>71</v>
      </c>
      <c r="C70" s="59">
        <f>C68+C69</f>
        <v>182958414.4941238</v>
      </c>
      <c r="D70" s="59">
        <f>D68+D69</f>
        <v>21155387.437902343</v>
      </c>
      <c r="E70" s="59">
        <f>E68+E69</f>
        <v>163630204.3115846</v>
      </c>
    </row>
    <row r="71" spans="2:7" ht="14.25">
      <c r="B71" s="58" t="s">
        <v>80</v>
      </c>
      <c r="C71" s="59">
        <f>C70-C26</f>
        <v>48001565.49412379</v>
      </c>
      <c r="D71" s="59">
        <f>D70-D26</f>
        <v>106352.43790234253</v>
      </c>
      <c r="E71" s="59">
        <f>E70-E26</f>
        <v>32386571.311584592</v>
      </c>
      <c r="G71" s="68"/>
    </row>
    <row r="72" spans="2:4" ht="13.5">
      <c r="B72" s="47"/>
      <c r="D72" s="2"/>
    </row>
    <row r="73" spans="2:3" ht="14.25">
      <c r="B73" s="55" t="s">
        <v>92</v>
      </c>
      <c r="C73" s="56"/>
    </row>
    <row r="74" spans="2:5" ht="14.25">
      <c r="B74" s="89">
        <v>175.4499</v>
      </c>
      <c r="C74" s="57">
        <f>$B$74*C66</f>
        <v>1981803.5400536265</v>
      </c>
      <c r="D74" s="57">
        <f>$B$74*D66</f>
        <v>1699010.389490705</v>
      </c>
      <c r="E74" s="57">
        <f>$B$74*E66</f>
        <v>2112313.7115045185</v>
      </c>
    </row>
    <row r="75" spans="2:5" ht="14.25">
      <c r="B75" s="54" t="s">
        <v>68</v>
      </c>
      <c r="C75" s="57">
        <f>MIN((C74*0.015),'District &amp; Charter Calculation'!C25)</f>
        <v>29727.053100804398</v>
      </c>
      <c r="D75" s="57">
        <f>MIN((D74*0.015),'District &amp; Charter Calculation'!D25)</f>
        <v>25485.155842360575</v>
      </c>
      <c r="E75" s="57">
        <f>MIN((E74*0.015),'District &amp; Charter Calculation'!E25)</f>
        <v>31684.705672567776</v>
      </c>
    </row>
    <row r="76" spans="2:5" ht="14.25">
      <c r="B76" s="30" t="s">
        <v>70</v>
      </c>
      <c r="C76" s="57">
        <f>C74-C75</f>
        <v>1952076.4869528222</v>
      </c>
      <c r="D76" s="57">
        <f>D74-D75</f>
        <v>1673525.2336483444</v>
      </c>
      <c r="E76" s="57">
        <f>E74-E75</f>
        <v>2080629.0058319508</v>
      </c>
    </row>
    <row r="78" ht="12.75">
      <c r="B78" s="13" t="s">
        <v>93</v>
      </c>
    </row>
  </sheetData>
  <sheetProtection password="CC05" sheet="1"/>
  <printOptions/>
  <pageMargins left="0.17" right="0.5" top="2.4283333333333332" bottom="0.5" header="0.5" footer="0.25"/>
  <pageSetup fitToHeight="0" fitToWidth="1" horizontalDpi="600" verticalDpi="600" orientation="landscape" scale="94" r:id="rId2"/>
  <headerFooter scaleWithDoc="0">
    <oddHeader>&amp;L&amp;G&amp;C&amp;"Arial,Bold"
Divison of Financial and Administrative Services
School Finance
Charter School Basic Formula Projection Tool</oddHeader>
    <oddFooter>&amp;L&amp;"Arial Narrow,Regular"&amp;8June 13, 2012</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gogle</dc:creator>
  <cp:keywords/>
  <dc:description/>
  <cp:lastModifiedBy>Herndon, Tabitha</cp:lastModifiedBy>
  <cp:lastPrinted>2023-02-28T18:02:00Z</cp:lastPrinted>
  <dcterms:created xsi:type="dcterms:W3CDTF">2006-07-13T20:12:16Z</dcterms:created>
  <dcterms:modified xsi:type="dcterms:W3CDTF">2023-12-08T17:00:55Z</dcterms:modified>
  <cp:category/>
  <cp:version/>
  <cp:contentType/>
  <cp:contentStatus/>
</cp:coreProperties>
</file>